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C5DAA32D-E55D-471C-A345-4EF56F45F17B}"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"8f9b276c-4926-49ae-8e55-9bf901bd46d3"</definedName>
    <definedName name="_EPRCS_RP_DOCLET_ID_" hidden="1">"02b113e0-60fd-4c81-b894-2d6e9d9af7d4"</definedName>
    <definedName name="_EPRCS_VU_0010a0f8_a064_4722_9f8b_76c6ede8c123" hidden="1">0</definedName>
    <definedName name="_EPRCS_VU_0252fb03_b79e_42c9_b0a7_21e0fdb3dde0" hidden="1">"-100.0%"</definedName>
    <definedName name="_EPRCS_VU_028e1737_426a_48a3_9409_9dfa2bb2e06f" hidden="1">0</definedName>
    <definedName name="_EPRCS_VU_04284e86_7b42_4d81_a38e_fe3288cd1d84" hidden="1">0</definedName>
    <definedName name="_EPRCS_VU_05847cac_1051_4b78_a6b2_7b08983d1aae" hidden="1">"-100.0%"</definedName>
    <definedName name="_EPRCS_VU_063f55a7_c1af_4de0_83b8_3e8e6e50f491" hidden="1">15620</definedName>
    <definedName name="_EPRCS_VU_08859930_7f7c_4fa0_a1fe_332fe8da0365" hidden="1">"33.4%"</definedName>
    <definedName name="_EPRCS_VU_0897c455_b4ac_4353_bb77_6e2bb5440759" hidden="1">"-100.0%"</definedName>
    <definedName name="_EPRCS_VU_0920827b_7525_4581_a301_3c0c1febf256" hidden="1">"-7.5%"</definedName>
    <definedName name="_EPRCS_VU_09f29625_fed1_4998_8432_f4663d12f7d4" hidden="1">26608</definedName>
    <definedName name="_EPRCS_VU_0b360a92_7ce0_46bb_9294_c9257fe9f2cd" hidden="1">"-2.1%"</definedName>
    <definedName name="_EPRCS_VU_0d56d328_51b1_4120_85b0_654b27dff96b" hidden="1">"-100.0%"</definedName>
    <definedName name="_EPRCS_VU_0da27029_3299_48bb_93ae_9c184c47edfb" hidden="1">52385</definedName>
    <definedName name="_EPRCS_VU_0dbc92ab_14db_4b5e_821b_002d64cd1246" hidden="1">"-100.0%"</definedName>
    <definedName name="_EPRCS_VU_0dd86d6f_fa29_42de_af37_9de1094d282f" hidden="1">7768</definedName>
    <definedName name="_EPRCS_VU_0e0e9868_8905_4a08_b79c_5a0593c447d4" hidden="1">"-12.2%"</definedName>
    <definedName name="_EPRCS_VU_0ea2f348_699f_41d9_9184_689d1f3ba0c0" hidden="1">0</definedName>
    <definedName name="_EPRCS_VU_0eb8c476_50df_4488_83d3_82589ceb66d4" hidden="1">994</definedName>
    <definedName name="_EPRCS_VU_1007ac04_c1fc_4b8b_9be1_7e9574b703c6" hidden="1">0</definedName>
    <definedName name="_EPRCS_VU_11c38d6c_1caa_49f5_afc0_a2316e6c8fd0" hidden="1">194366</definedName>
    <definedName name="_EPRCS_VU_1395e09e_1d76_4f6b_8c37_a2482d553fe4" hidden="1">0</definedName>
    <definedName name="_EPRCS_VU_14f1544d_96e1_4f32_a620_28468d3590da" hidden="1">0</definedName>
    <definedName name="_EPRCS_VU_16312d06_2cd1_4246_bef7_ae49a9acd133" hidden="1">17884</definedName>
    <definedName name="_EPRCS_VU_1702103d_c961_425b_b7b5_11601a886688" hidden="1">0</definedName>
    <definedName name="_EPRCS_VU_19b3424d_a129_4775_9ded_94640645d4a2" hidden="1">"10.4%"</definedName>
    <definedName name="_EPRCS_VU_19b94467_b66b_4afe_a61e_1a686258d974" hidden="1">7647</definedName>
    <definedName name="_EPRCS_VU_1a78226f_8069_40c6_876e_5040284d406c" hidden="1">0</definedName>
    <definedName name="_EPRCS_VU_1ad7a91f_0539_4cbc_a7f3_90e9e4b68bba" hidden="1">1057</definedName>
    <definedName name="_EPRCS_VU_1adf52df_1098_408a_a97d_ce56a218b126" hidden="1">0</definedName>
    <definedName name="_EPRCS_VU_1ccb2f16_e8c8_48c1_a5a4_9e9516c9d006" hidden="1">96561</definedName>
    <definedName name="_EPRCS_VU_1cd58af8_db01_4aa2_9e11_6fc7f70f4249" hidden="1">0</definedName>
    <definedName name="_EPRCS_VU_1d3d12f7_40ce_4a55_ba9f_8cf2d5e97e9c" hidden="1">"3.1%"</definedName>
    <definedName name="_EPRCS_VU_1ec7de9c_9e05_49e8_91b3_f906cb804005" hidden="1">3563</definedName>
    <definedName name="_EPRCS_VU_1f469177_df18_4758_945d_b0e0a8d37f39" hidden="1">-1429</definedName>
    <definedName name="_EPRCS_VU_1fc8b5ad_905d_4399_ab3e_b4376590fff2" hidden="1">34079</definedName>
    <definedName name="_EPRCS_VU_2094a576_1325_40af_b2c7_34f2db0a3834" hidden="1">"#DIV/0!"</definedName>
    <definedName name="_EPRCS_VU_20fe1b17_1dda_4165_b931_0ddba64d8eb7" hidden="1">5266</definedName>
    <definedName name="_EPRCS_VU_217fe904_9230_478e_887c_8bd6d4d87411" hidden="1">"6.5%"</definedName>
    <definedName name="_EPRCS_VU_21c767a6_636b_4281_86e7_4aafa5536f90" hidden="1">25776</definedName>
    <definedName name="_EPRCS_VU_22276739_7ffb_4af0_ac82_21f096f1a8d1" hidden="1">"-12.8%"</definedName>
    <definedName name="_EPRCS_VU_24c853af_f383_41f3_9013_75fb5fae2298" hidden="1">317</definedName>
    <definedName name="_EPRCS_VU_251628c4_c58d_484a_b475_de5c6294c369" hidden="1">0</definedName>
    <definedName name="_EPRCS_VU_28327433_6bc4_49be_9f54_a3f2555a629b" hidden="1">"-11.9%"</definedName>
    <definedName name="_EPRCS_VU_28e871d9_0315_4f4e_9c8c_7ab2f5d7a4d6" hidden="1">"-100.0%"</definedName>
    <definedName name="_EPRCS_VU_29064f35_6c67_4ce6_a57e_b3786cd116d4" hidden="1">3537</definedName>
    <definedName name="_EPRCS_VU_29e9763e_3758_409d_98ae_3d149f6edbda" hidden="1">171</definedName>
    <definedName name="_EPRCS_VU_2a691021_a766_44cb_968f_193139ad2c08" hidden="1">35244</definedName>
    <definedName name="_EPRCS_VU_2c003ac9_2855_4b4a_b3fa_1102befa546a" hidden="1">12278</definedName>
    <definedName name="_EPRCS_VU_2d91c2a5_bf64_469f_b03f_80f00e5a8ba2" hidden="1">847</definedName>
    <definedName name="_EPRCS_VU_2e20f530_c8e9_4516_90a4_82a47312cf40" hidden="1">49699</definedName>
    <definedName name="_EPRCS_VU_2ed6eb03_2b39_43aa_bb25_1366e4d25c3b" hidden="1">0</definedName>
    <definedName name="_EPRCS_VU_3094ebd6_2cfc_49dc_99d6_ba1e092eb751" hidden="1">16981</definedName>
    <definedName name="_EPRCS_VU_31526103_e538_47c5_87a8_440d15f2eadb" hidden="1">0</definedName>
    <definedName name="_EPRCS_VU_33c7b926_926a_4b79_8629_dc648f4a43ec" hidden="1">0</definedName>
    <definedName name="_EPRCS_VU_35b2be91_2794_4c7c_b7ef_4fddeae71ecf" hidden="1">0</definedName>
    <definedName name="_EPRCS_VU_362cb984_3921_4407_bd04_bb5da2b41646" hidden="1">984</definedName>
    <definedName name="_EPRCS_VU_37fe06b4_654c_46cf_86bd_6f96e294ff9f" hidden="1">0</definedName>
    <definedName name="_EPRCS_VU_385d0572_d5a5_43b1_9350_237b20747ae2" hidden="1">"-100.0%"</definedName>
    <definedName name="_EPRCS_VU_3a020444_a187_4c28_8643_215c5ce83848" hidden="1">"-100.0%"</definedName>
    <definedName name="_EPRCS_VU_3a42573c_ad21_4ee5_94d3_973e6f736627" hidden="1">"10.8%"</definedName>
    <definedName name="_EPRCS_VU_3b9191a1_fda9_4bf4_8a8e_379f7976c75a" hidden="1">"8.1%"</definedName>
    <definedName name="_EPRCS_VU_3cf02499_c967_4ae0_b08d_ba8904788a02" hidden="1">8406</definedName>
    <definedName name="_EPRCS_VU_3fa796ec_637c_4211_a2ae_e763b294289d" hidden="1">34177</definedName>
    <definedName name="_EPRCS_VU_3ffbb6f6_54d7_486d_8232_00e5c17540a4" hidden="1">"Q2"</definedName>
    <definedName name="_EPRCS_VU_41160785_dda4_4301_8f0a_c65824059824" hidden="1">23685</definedName>
    <definedName name="_EPRCS_VU_4244d427_5c02_45a1_b94a_0449c54461ab" hidden="1">34563</definedName>
    <definedName name="_EPRCS_VU_44aed363_8388_4c80_a5d4_1853aa6e15ac" hidden="1">"-100.0%"</definedName>
    <definedName name="_EPRCS_VU_488e52f8_17f2_44a7_a124_99142fb3d46b" hidden="1">"-100.0%"</definedName>
    <definedName name="_EPRCS_VU_4e7f5ec8_a3e9_49fe_b651_7352f03bf6ee" hidden="1">16901</definedName>
    <definedName name="_EPRCS_VU_4fdedf2f_ef82_4556_b548_2d1a30ba4a73" hidden="1">6032</definedName>
    <definedName name="_EPRCS_VU_51553e62_f137_43a9_b24d_dbda0d65f8ef" hidden="1">0</definedName>
    <definedName name="_EPRCS_VU_53bb178d_df7b_4c0d_a78c_87bbfb7a69bd" hidden="1">"-8.3%"</definedName>
    <definedName name="_EPRCS_VU_54ae08f7_752e_4874_a360_5c5453c45cb5" hidden="1">3783</definedName>
    <definedName name="_EPRCS_VU_554be3ac_cb84_4aa9_9732_fc2687edc834" hidden="1">0</definedName>
    <definedName name="_EPRCS_VU_57bbc70f_fc64_4380_a410_92683b1f48f1" hidden="1">"2.1%"</definedName>
    <definedName name="_EPRCS_VU_591c3de5_f5ec_4415_b6bc_c76944ba8526" hidden="1">24611</definedName>
    <definedName name="_EPRCS_VU_5a3e647d_2992_4fba_be2d_2b4f1ff797b0" hidden="1">5490</definedName>
    <definedName name="_EPRCS_VU_5a51c982_4d0c_4f8a_a84e_3f978490a186" hidden="1">"-0.3%"</definedName>
    <definedName name="_EPRCS_VU_5aef0dd0_4bb4_4a62_9fdd_44d8ac96bee3" hidden="1">0</definedName>
    <definedName name="_EPRCS_VU_5ed940d4_8de2_4b50_b968_4235a5ac4845" hidden="1">3529</definedName>
    <definedName name="_EPRCS_VU_61e290cb_f176_4f74_97e1_09514c8f5a42" hidden="1">"-1.7%"</definedName>
    <definedName name="_EPRCS_VU_62a763c5_5939_440c_978c_ef39f04709b5" hidden="1">"3.9%"</definedName>
    <definedName name="_EPRCS_VU_64371097_6709_4fac_afc2_ee82940a5b1e" hidden="1">"1.8%"</definedName>
    <definedName name="_EPRCS_VU_64ad90f8_b374_49d5_a6ec_a403bc8290c4" hidden="1">"-100.0%"</definedName>
    <definedName name="_EPRCS_VU_661be04d_a31f_4fdd_8a6c_e41eeda10c5b" hidden="1">11917</definedName>
    <definedName name="_EPRCS_VU_687266c7_2e79_4df2_adde_3bc9982609c1" hidden="1">"-100.0%"</definedName>
    <definedName name="_EPRCS_VU_695c4ad1_845e_40ed_9edc_292ca448d800" hidden="1">32581</definedName>
    <definedName name="_EPRCS_VU_6db282e5_e5c6_44e2_9634_2d1a30f0db46" hidden="1">0</definedName>
    <definedName name="_EPRCS_VU_6e0e8af5_ff99_4214_a097_56a3c9b4c5c1" hidden="1">0</definedName>
    <definedName name="_EPRCS_VU_6e3d8a79_f7dd_4edb_9bc1_b0ddaec1f769" hidden="1">158</definedName>
    <definedName name="_EPRCS_VU_6f19ef1a_04d3_4e05_9c0f_6ffec1d3a872" hidden="1">"4.7%"</definedName>
    <definedName name="_EPRCS_VU_6f376bb2_82e3_4efe_b37b_5b1983c397ee" hidden="1">"-100.0%"</definedName>
    <definedName name="_EPRCS_VU_70b40009_ad91_4022_b69c_6f7f5baca135" hidden="1">7954</definedName>
    <definedName name="_EPRCS_VU_7181cdd3_a8d7_4f10_a1c4_fe387c4e8eb9" hidden="1">0</definedName>
    <definedName name="_EPRCS_VU_73bb09be_df91_44d4_98e7_55f3ad2046cf" hidden="1">0</definedName>
    <definedName name="_EPRCS_VU_74111f1a_e003_4bca_a515_27cb1c40b559" hidden="1">25055</definedName>
    <definedName name="_EPRCS_VU_7449c809_8c46_4847_a0f0_1ad8e85b9989" hidden="1">96562</definedName>
    <definedName name="_EPRCS_VU_74f31317_70d1_43e7_a89c_74b9ef59c4f2" hidden="1">8426</definedName>
    <definedName name="_EPRCS_VU_7533182d_a11c_45ce_bdbb_da0eb8acc252" hidden="1">"3.4%"</definedName>
    <definedName name="_EPRCS_VU_76368938_c27d_4118_85d1_cfa1c51b7f14" hidden="1">158</definedName>
    <definedName name="_EPRCS_VU_76be4101_300d_4ea1_ba50_ab4eef919b34" hidden="1">0</definedName>
    <definedName name="_EPRCS_VU_774afc03_95e3_4a03_994a_3382e8ad57b2" hidden="1">97692</definedName>
    <definedName name="_EPRCS_VU_7b621aef_a74f_4909_9770_10a8a32b2883" hidden="1">17133</definedName>
    <definedName name="_EPRCS_VU_7b7442d1_c7b6_4aa7_b162_6d851981455c" hidden="1">0</definedName>
    <definedName name="_EPRCS_VU_7c9f0bbf_e2db_4443_92cf_16932052cbde" hidden="1">"-100.0%"</definedName>
    <definedName name="_EPRCS_VU_7e6903e5_932a_489d_8239_1686e4826666" hidden="1">-1253</definedName>
    <definedName name="_EPRCS_VU_80f37e65_6488_41c7_bdef_76a5935aa9d7" hidden="1">0</definedName>
    <definedName name="_EPRCS_VU_817b0176_21f0_4775_9324_76ec25c9c959" hidden="1">782</definedName>
    <definedName name="_EPRCS_VU_81807678_c864_477d_9fb6_d992d0c22154" hidden="1">25088</definedName>
    <definedName name="_EPRCS_VU_82784898_af2f_4d9d_b44a_1c6641fb9c0d" hidden="1">"-18.5%"</definedName>
    <definedName name="_EPRCS_VU_82da85c2_fb68_4ac0_96a9_38f1d3f0b190" hidden="1">-2423</definedName>
    <definedName name="_EPRCS_VU_8392cdb0_d3ac_4d71_b6fc_c118cda23072" hidden="1">"13.4%"</definedName>
    <definedName name="_EPRCS_VU_848ac8c4_b97b_4e17_9854_e9f712626024" hidden="1">0</definedName>
    <definedName name="_EPRCS_VU_86bfd910_7c4f_4b52_87d4_0d75027e10f1" hidden="1">17195</definedName>
    <definedName name="_EPRCS_VU_883eaccd_750f_4656_ae19_6ebb89324465" hidden="1">152147</definedName>
    <definedName name="_EPRCS_VU_884bf363_7abe_4b29_a365_4b49edb51941" hidden="1">97804</definedName>
    <definedName name="_EPRCS_VU_8a1cc46a_55fb_4f6d_9fcb_f5578a78ee60" hidden="1">11216</definedName>
    <definedName name="_EPRCS_VU_8b3dadc4_d78d_47ff_8cdc_0b3eb485ca2d" hidden="1">271</definedName>
    <definedName name="_EPRCS_VU_8ca14454_9f82_41d9_b7ff_8f58f502b74c" hidden="1">0</definedName>
    <definedName name="_EPRCS_VU_8ccbf937_8657_41c9_abbc_dccc23782e50" hidden="1">33620</definedName>
    <definedName name="_EPRCS_VU_8d86ca5b_ba47_4fc7_8d8d_b6813cf966a4" hidden="1">0</definedName>
    <definedName name="_EPRCS_VU_8e204fa3_2dc3_4cb8_bae4_e15b855ea527" hidden="1">110000</definedName>
    <definedName name="_EPRCS_VU_8e4dd81f_3407_4213_b912_fd9256f15d10" hidden="1">"33.6%"</definedName>
    <definedName name="_EPRCS_VU_8f60d0fc_5b26_4268_88e8_4828f20d05e0" hidden="1">2456</definedName>
    <definedName name="_EPRCS_VU_8fa5971c_b024_4f36_9646_5575e1c384c3" hidden="1">7101</definedName>
    <definedName name="_EPRCS_VU_9021694a_84de_4036_956b_e129053339f3" hidden="1">0</definedName>
    <definedName name="_EPRCS_VU_927c1036_f270_45c0_ae99_9c31bfaee966" hidden="1">"29.9%"</definedName>
    <definedName name="_EPRCS_VU_941c24e8_5909_4bc7_90c7_a41cfa3a08b9" hidden="1">931</definedName>
    <definedName name="_EPRCS_VU_95e4c24f_aa74_44a8_b460_578859bfa149" hidden="1">7664</definedName>
    <definedName name="_EPRCS_VU_982ebf6d_d557_49bd_a750_45d6058d2450" hidden="1">7665</definedName>
    <definedName name="_EPRCS_VU_98384c9a_b7e8_417c_9a17_5b1f8dd232e6" hidden="1">"-13.9%"</definedName>
    <definedName name="_EPRCS_VU_9889aa61_84b7_4bfd_aea5_68a85f8d3b10" hidden="1">16945</definedName>
    <definedName name="_EPRCS_VU_9ab98c40_225e_4f0f_9477_412921dd8f20" hidden="1">42219</definedName>
    <definedName name="_EPRCS_VU_9cd928d0_b45e_461c_8b56_a12ac955c68a" hidden="1">"-18.8%"</definedName>
    <definedName name="_EPRCS_VU_9eded6dd_4bfc_42cd_89bd_287f30553f15" hidden="1">"33.1%"</definedName>
    <definedName name="_EPRCS_VU_9f508fa1_13d5_4218_ad90_3a2598e85130" hidden="1">0</definedName>
    <definedName name="_EPRCS_VU_9fac72f3_73cb_4414_99b1_28d2a06c65ec" hidden="1">0</definedName>
    <definedName name="_EPRCS_VU_a0b5e65b_e0e4_4f3f_ab5c_1275d2c1063c" hidden="1">0</definedName>
    <definedName name="_EPRCS_VU_a1650c98_d64f_4510_9ab4_6e49dfaa322b" hidden="1">"2.7%"</definedName>
    <definedName name="_EPRCS_VU_a2c71fa6_4b02_45e7_b9fc_4d4c54251376" hidden="1">9060</definedName>
    <definedName name="_EPRCS_VU_a3353e2f_4e4e_40a0_b2c5_988f7c259047" hidden="1">"-100.0%"</definedName>
    <definedName name="_EPRCS_VU_a35e2e93_a725_4427_b70d_5007693b6333" hidden="1">0</definedName>
    <definedName name="_EPRCS_VU_a35f6d86_d5dc_47a5_b511_aee7548efcae" hidden="1">1399</definedName>
    <definedName name="_EPRCS_VU_a4f5cd80_9dc6_4344_b732_6ff8dc845002" hidden="1">0</definedName>
    <definedName name="_EPRCS_VU_a5412a94_6837_40b6_ba7f_6d5e3aea8f8d" hidden="1">65659</definedName>
    <definedName name="_EPRCS_VU_a6220aa9_f446_43a1_a784_6e77510a47a2" hidden="1">1629</definedName>
    <definedName name="_EPRCS_VU_a6566f63_5800_472f_aeb8_6281e6a9eabf" hidden="1">17359</definedName>
    <definedName name="_EPRCS_VU_a790bfc9_2e9d_48fb_9aff_2c3211d6cf9d" hidden="1">0</definedName>
    <definedName name="_EPRCS_VU_a85bf1b5_4ec4_4f50_a617_741ee9d83425" hidden="1">"-100.0%"</definedName>
    <definedName name="_EPRCS_VU_ab2f49fc_dace_402f_8874_d1d6e4a0f830" hidden="1">-20</definedName>
    <definedName name="_EPRCS_VU_afade340_acdf_4923_8deb_63d0a75586fd" hidden="1">"16.6%"</definedName>
    <definedName name="_EPRCS_VU_b1c0031d_6963_4ba5_9217_d30f762407c7" hidden="1">26176</definedName>
    <definedName name="_EPRCS_VU_b2e463a2_b3c1_4249_be85_a97b16ec2338" hidden="1">0</definedName>
    <definedName name="_EPRCS_VU_b390fcae_a814_4f7b_a303_91db1d56def1" hidden="1">0</definedName>
    <definedName name="_EPRCS_VU_b3f144ef_9cfe_46d5_8a0e_0ed06c5e6a05" hidden="1">"8.7%"</definedName>
    <definedName name="_EPRCS_VU_b44ebad9_1fc8_462a_91fc_668680a3dc73" hidden="1">"-100.0%"</definedName>
    <definedName name="_EPRCS_VU_b53a06ed_13e4_4719_afa6_0ccdc53f6afc" hidden="1">11767</definedName>
    <definedName name="_EPRCS_VU_b677062d_56d6_4ea4_8e83_5cab645c449f" hidden="1">0</definedName>
    <definedName name="_EPRCS_VU_b6a87624_97c1_45d5_aed7_9e7a3e962d65" hidden="1">50388</definedName>
    <definedName name="_EPRCS_VU_b6c0f899_2ffb_4e1b_aa9c_faf076ea92a3" hidden="1">33729</definedName>
    <definedName name="_EPRCS_VU_b797405f_cfbf_4163_90e0_7b7c7e6df0af" hidden="1">5861</definedName>
    <definedName name="_EPRCS_VU_b8927a95_faaa_4f65_afaf_ec69a76827e5" hidden="1">-1170</definedName>
    <definedName name="_EPRCS_VU_bb2d0a06_345b_429e_a50c_28ecbdc89f1f" hidden="1">112</definedName>
    <definedName name="_EPRCS_VU_be16af8c_261a_4cb3_85fc_4264db14f4bb" hidden="1">"-100.0%"</definedName>
    <definedName name="_EPRCS_VU_be52bb4b_6914_4729_9b1e_761b7952033e" hidden="1">"-100.0%"</definedName>
    <definedName name="_EPRCS_VU_c0b1a293_2f14_4332_9093_43955c1d5796" hidden="1">36112</definedName>
    <definedName name="_EPRCS_VU_c4b1b646_27a4_43a1_ad59_55c779e03b1f" hidden="1">0</definedName>
    <definedName name="_EPRCS_VU_c4d5ef5f_9ae2_4d7f_82e6_ca5a77e53c61" hidden="1">0</definedName>
    <definedName name="_EPRCS_VU_c5949e71_5ba5_4e03_adfd_5fad1ed15bd1" hidden="1">"24.7%"</definedName>
    <definedName name="_EPRCS_VU_c6bb8013_087d_4390_960b_03d07735ca1d" hidden="1">0</definedName>
    <definedName name="_EPRCS_VU_cac8e68f_a129_45e5_87c9_ad721399847b" hidden="1">"-100.0%"</definedName>
    <definedName name="_EPRCS_VU_cede7a84_8ef6_4b80_b4e5_b4eb80ebaf02" hidden="1">"-100.0%"</definedName>
    <definedName name="_EPRCS_VU_cf6873ed_e334_4db5_b20c_a460d0030639" hidden="1">116032</definedName>
    <definedName name="_EPRCS_VU_d0f1b4ab_611e_4e03_be9f_c61d17f7697e" hidden="1">"-6.1%"</definedName>
    <definedName name="_EPRCS_VU_d18d29fa_bbad_44b2_9a49_306b67c1e4c3" hidden="1">0</definedName>
    <definedName name="_EPRCS_VU_d2e6fd23_0f89_4d13_9c04_8754a79284d7" hidden="1">42642</definedName>
    <definedName name="_EPRCS_VU_d424f901_8fac_4de7_9036_8cc470cfb013" hidden="1">100</definedName>
    <definedName name="_EPRCS_VU_d52a708b_8c1b_4126_afe2_8b7d4f04f864" hidden="1">2930</definedName>
    <definedName name="_EPRCS_VU_d776b4c5_c487_4e4d_84e7_f7cc17b48d21" hidden="1">102084</definedName>
    <definedName name="_EPRCS_VU_d972406d_95e9_4be1_98be_9b2ae02e1c52" hidden="1">"-0.9%"</definedName>
    <definedName name="_EPRCS_VU_d9d21d3a_fd73_48be_b2ae_49efa93ee1fa" hidden="1">0</definedName>
    <definedName name="_EPRCS_VU_da5d9bd2_d9b2_4a20_b81d_1b8202f2c0f8" hidden="1">26057</definedName>
    <definedName name="_EPRCS_VU_da638225_a5b4_4670_b3d1_97fb7e22d6c0" hidden="1">"0.8%"</definedName>
    <definedName name="_EPRCS_VU_db71aa85_a019_47a1_939a_ff11d593ac09" hidden="1">15416</definedName>
    <definedName name="_EPRCS_VU_db9c2e8f_74d9_4a16_b458_8478089da9a2" hidden="1">0</definedName>
    <definedName name="_EPRCS_VU_dbfe4375_d12c_4c75_93aa_d1c7a66cc8d7" hidden="1">"#DIV/0!"</definedName>
    <definedName name="_EPRCS_VU_dd99483b_0869_4ace_a704_2503e21551e5" hidden="1">1916</definedName>
    <definedName name="_EPRCS_VU_e02e45c8_5373_4156_8ef7_e74965393850" hidden="1">66201</definedName>
    <definedName name="_EPRCS_VU_e0832ab7_1e34_4b11_9d71_fd4ae5085afd" hidden="1">0</definedName>
    <definedName name="_EPRCS_VU_e0a46194_0613_4e1e_a59b_4f85f09edac5" hidden="1">18025</definedName>
    <definedName name="_EPRCS_VU_e14ee844_7379_4220_9fcd_4ba9dc54260a" hidden="1">2</definedName>
    <definedName name="_EPRCS_VU_e36e8a42_89ab_402f_94a1_506625c2731a" hidden="1">68005</definedName>
    <definedName name="_EPRCS_VU_e53b9a0a_f818_4c95_9187_b34dbd353494" hidden="1">70212</definedName>
    <definedName name="_EPRCS_VU_e5ad3057_046e_4b27_a969_b1754aa1a14c" hidden="1">16828</definedName>
    <definedName name="_EPRCS_VU_ecc60ad2_8b8d_4516_8a21_58185bc55c2e" hidden="1">"-11.7%"</definedName>
    <definedName name="_EPRCS_VU_ed9c0e2d_6f5d_4d71_9988_0ee95c109f5c" hidden="1">10756</definedName>
    <definedName name="_EPRCS_VU_ef870e24_9143_4c3d_8f71_1c8390045398" hidden="1">33442</definedName>
    <definedName name="_EPRCS_VU_f095c8e7_2fd3_4e21_b2ea_7134e66857e6" hidden="1">2930</definedName>
    <definedName name="_EPRCS_VU_f391fa00_db18_4a5b_83e1_2b6c283392ca" hidden="1">"5.8%"</definedName>
    <definedName name="_EPRCS_VU_f3e0dbf1_c42f_4c8f_9fd8_b85949da73cc" hidden="1">3503</definedName>
    <definedName name="_EPRCS_VU_f8622ae7_d0f5_41db_8226_2c7e6bf4d8c8" hidden="1">"-0.8%"</definedName>
    <definedName name="_EPRCS_VU_f8df13b3_5a77_4910_a40f_6ff3e0f6971e" hidden="1">51696</definedName>
    <definedName name="_EPRCS_VU_fa6d7704_0e3f_4355_95fb_27d7216e2598" hidden="1">0</definedName>
    <definedName name="_EPRCS_VU_faf49702_54e4_4780_aca2_6658b3c0da92" hidden="1">7964</definedName>
    <definedName name="_EPRCS_VU_fb2e8d2b_4f46_4a36_9da5_d47e5ee35651" hidden="1">"-100.0%"</definedName>
    <definedName name="_EPRCS_VU_fbfa2cdd_a35d_4242_9470_a20bba524a20" hidden="1">84227</definedName>
    <definedName name="_EPRCS_VU_fdf02499_0612_4c92_8d59_4435b8e31353" hidden="1">3177</definedName>
    <definedName name="_EPRCS_VU_fe0a327c_1db4_4876_a4fc_feb2edda90cf" hidden="1">41584</definedName>
    <definedName name="_EPRCS_VU_fe4d7699_461e_416e_b096_70d49d965f13" hidden="1">0</definedName>
    <definedName name="_EPRCS_VU_fe6eb271_0300_4082_b210_14f2bfea561d" hidden="1">4160</definedName>
    <definedName name="_EPRCS_VU_fff4c71f_3966_46ed_b123_7f42091a5fb0" hidden="1">10061</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43036" l="1"/>
  <c r="D15" i="196"/>
  <c r="R42" i="6"/>
  <c r="R40" i="6"/>
  <c r="R38" i="6"/>
  <c r="R34" i="6"/>
  <c r="R32" i="6"/>
  <c r="R30" i="6"/>
  <c r="R28" i="6"/>
  <c r="R26" i="6"/>
  <c r="D9" i="196" s="1"/>
  <c r="R23" i="6"/>
  <c r="R21" i="6"/>
  <c r="R19" i="6"/>
  <c r="R17" i="6"/>
  <c r="R15" i="6"/>
  <c r="R11" i="6"/>
  <c r="R9" i="6"/>
  <c r="R7" i="6"/>
  <c r="R5" i="6"/>
  <c r="F2" i="43034"/>
  <c r="I38" i="43034" s="1"/>
  <c r="G12" i="43036"/>
  <c r="D12" i="43036"/>
  <c r="H11" i="43036"/>
  <c r="D11" i="43036"/>
  <c r="H10" i="43036"/>
  <c r="G10" i="43036"/>
  <c r="D10" i="43036"/>
  <c r="H9" i="43036"/>
  <c r="D9" i="43036"/>
  <c r="H8" i="43036"/>
  <c r="G8" i="43036"/>
  <c r="D8" i="43036"/>
  <c r="H7" i="43036"/>
  <c r="D7" i="43036"/>
  <c r="H6" i="43036"/>
  <c r="G6" i="43036"/>
  <c r="D6" i="43036"/>
  <c r="H5" i="43036"/>
  <c r="D5" i="43036"/>
  <c r="B2" i="43036"/>
  <c r="F12" i="43036" s="1"/>
  <c r="H16" i="43034" l="1"/>
  <c r="H23" i="43034"/>
  <c r="H27" i="43034"/>
  <c r="H12" i="43034"/>
  <c r="H34" i="43034"/>
  <c r="H8" i="43034"/>
  <c r="I8" i="43034"/>
  <c r="I12" i="43034"/>
  <c r="I16" i="43034"/>
  <c r="I27" i="43034"/>
  <c r="H5" i="43034"/>
  <c r="H13" i="43034"/>
  <c r="H20" i="43034"/>
  <c r="H35" i="43034"/>
  <c r="F5" i="43036"/>
  <c r="F9" i="43036"/>
  <c r="F11" i="43036"/>
  <c r="I5" i="43034"/>
  <c r="I9" i="43034"/>
  <c r="I13" i="43034"/>
  <c r="I20" i="43034"/>
  <c r="I24" i="43034"/>
  <c r="I28" i="43034"/>
  <c r="I35" i="43034"/>
  <c r="I39" i="43034"/>
  <c r="I34" i="43034"/>
  <c r="H28" i="43034"/>
  <c r="F7" i="43036"/>
  <c r="G5" i="43036"/>
  <c r="G7" i="43036"/>
  <c r="G9" i="43036"/>
  <c r="G11" i="43036"/>
  <c r="H6" i="43034"/>
  <c r="H10" i="43034"/>
  <c r="H14" i="43034"/>
  <c r="H21" i="43034"/>
  <c r="H25" i="43034"/>
  <c r="H29" i="43034"/>
  <c r="H36" i="43034"/>
  <c r="H40" i="43034"/>
  <c r="I23" i="43034"/>
  <c r="H9" i="43034"/>
  <c r="H24" i="43034"/>
  <c r="H39" i="43034"/>
  <c r="I6" i="43034"/>
  <c r="I10" i="43034"/>
  <c r="I14" i="43034"/>
  <c r="I21" i="43034"/>
  <c r="I25" i="43034"/>
  <c r="I29" i="43034"/>
  <c r="I36" i="43034"/>
  <c r="I40" i="43034"/>
  <c r="H37" i="43034"/>
  <c r="H7" i="43034"/>
  <c r="H11" i="43034"/>
  <c r="H15" i="43034"/>
  <c r="H22" i="43034"/>
  <c r="H26" i="43034"/>
  <c r="H33" i="43034"/>
  <c r="F6" i="43036"/>
  <c r="F8" i="43036"/>
  <c r="F10" i="43036"/>
  <c r="I7" i="43034"/>
  <c r="I11" i="43034"/>
  <c r="I15" i="43034"/>
  <c r="I22" i="43034"/>
  <c r="I26" i="43034"/>
  <c r="I33" i="43034"/>
  <c r="I37" i="43034"/>
  <c r="H38" i="43034"/>
</calcChain>
</file>

<file path=xl/sharedStrings.xml><?xml version="1.0" encoding="utf-8"?>
<sst xmlns="http://schemas.openxmlformats.org/spreadsheetml/2006/main" count="422" uniqueCount="299">
  <si>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</si>
  <si>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</si>
  <si>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</si>
  <si>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</si>
  <si>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</si>
  <si>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</si>
  <si>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</si>
  <si>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</si>
  <si>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</si>
  <si>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</si>
  <si>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</si>
  <si>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</si>
  <si>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</si>
  <si>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</si>
  <si>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</si>
  <si>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</si>
  <si>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</si>
  <si>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</si>
  <si>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</si>
  <si>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</si>
  <si>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</si>
  <si>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</si>
  <si>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</si>
  <si>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</si>
  <si>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</si>
  <si>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</si>
  <si>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 xml:space="preserve">その他有価証券評価差額金 </t>
  </si>
  <si>
    <t>Unrealized gain on other securities, net of taxes</t>
  </si>
  <si>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</si>
  <si>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</si>
  <si>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</si>
  <si>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</si>
  <si>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</si>
  <si>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</si>
  <si>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</si>
  <si>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</si>
  <si>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</si>
  <si>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</si>
  <si>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</si>
  <si>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</si>
  <si>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</si>
  <si>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</si>
  <si>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</si>
  <si>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</si>
  <si>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</si>
  <si>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受取手形  </t>
    <rPh sb="0" eb="4">
      <t>ウケトリテガタ</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</si>
  <si>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</si>
  <si>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</si>
  <si>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</si>
  <si>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</si>
  <si>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</si>
  <si>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</si>
  <si>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Notes receivable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</si>
  <si>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</si>
  <si>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</si>
  <si>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</si>
  <si>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</si>
  <si>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</si>
  <si>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</si>
  <si>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</si>
  <si>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</si>
  <si>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</si>
  <si>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</si>
  <si>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</si>
  <si>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</si>
  <si>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</si>
  <si>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</si>
  <si>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</si>
  <si>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</si>
  <si>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</si>
  <si>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</si>
  <si>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</si>
  <si>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</si>
  <si>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</si>
  <si>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</si>
  <si>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</si>
  <si>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</si>
  <si>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</si>
  <si>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</si>
  <si>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</si>
  <si>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</si>
  <si>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</si>
  <si>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</si>
  <si>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</si>
  <si>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</si>
  <si>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</si>
  <si>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</si>
  <si>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</si>
  <si>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</si>
  <si>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</si>
  <si>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</si>
  <si>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</si>
  <si>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</si>
  <si>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</si>
  <si>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</si>
  <si>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</si>
  <si>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</si>
  <si>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</si>
  <si>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</si>
  <si>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</si>
  <si>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</si>
  <si>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</si>
  <si>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</si>
  <si>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</si>
  <si>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</si>
  <si>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</si>
  <si>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</si>
  <si>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建設仮勘定</t>
    <rPh sb="0" eb="2">
      <t>ケンセツ</t>
    </rPh>
    <rPh sb="2" eb="5">
      <t>カリカンジョウ</t>
    </rPh>
    <phoneticPr fontId="2"/>
  </si>
  <si>
    <t>Construction in progress</t>
  </si>
  <si>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</si>
  <si>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</si>
  <si>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</si>
  <si>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</si>
  <si>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</si>
  <si>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</si>
  <si>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</si>
  <si>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</si>
  <si>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</si>
  <si>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</si>
  <si>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</si>
  <si>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</si>
  <si>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</si>
  <si>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</si>
  <si>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</si>
  <si>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</si>
  <si>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</si>
  <si>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</si>
  <si>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クラウド＆オンプレミスライセンス
Cloud &amp; On Premise License</t>
  </si>
  <si>
    <t>クラウドサービス＆ライセンスサポート
Cloud Services &amp; License Supports</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</si>
  <si>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</si>
  <si>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</si>
  <si>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</si>
  <si>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</si>
  <si>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</si>
  <si>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</si>
  <si>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</si>
  <si>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</si>
  <si>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</si>
  <si>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</si>
  <si>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</si>
  <si>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</si>
  <si>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</si>
  <si>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2018/5</t>
  </si>
  <si>
    <t>2019/5</t>
  </si>
  <si>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</si>
  <si>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</si>
  <si>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</si>
  <si>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</si>
  <si>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</si>
  <si>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</si>
  <si>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</si>
  <si>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</si>
  <si>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</si>
  <si>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</si>
  <si>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</si>
  <si>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</si>
  <si>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</si>
  <si>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</si>
  <si>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</si>
  <si>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</si>
  <si>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</si>
  <si>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</si>
  <si>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</si>
  <si>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</si>
  <si>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</si>
  <si>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</si>
  <si>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</si>
  <si>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</si>
  <si>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</si>
  <si>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2020/05</t>
  </si>
  <si>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</si>
  <si>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</si>
  <si>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</si>
  <si>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</si>
  <si>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</si>
  <si>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</si>
  <si>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</si>
  <si>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</si>
  <si>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</si>
  <si>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</si>
  <si>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</si>
  <si>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</si>
  <si>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</si>
  <si>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</si>
  <si>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</si>
  <si>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</si>
  <si>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</si>
  <si>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</si>
  <si>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</si>
  <si>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</si>
  <si>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</si>
  <si>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</si>
  <si>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</si>
  <si>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</si>
  <si>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業績予想 / FY22 Forecast</t>
    <rPh sb="0" eb="2">
      <t>ギョウセキ</t>
    </rPh>
    <rPh sb="2" eb="4">
      <t>ヨソウ</t>
    </rPh>
    <phoneticPr fontId="2"/>
  </si>
  <si>
    <t>30.5%</t>
  </si>
  <si>
    <t>35.2%</t>
  </si>
  <si>
    <t>33.7%</t>
  </si>
  <si>
    <t>36.0%</t>
  </si>
  <si>
    <t>34.0%</t>
  </si>
  <si>
    <t>-13.2%</t>
  </si>
  <si>
    <t>11.8%</t>
  </si>
  <si>
    <t>-21.7%</t>
  </si>
  <si>
    <t>-23.4%</t>
  </si>
  <si>
    <t>-14.2%</t>
  </si>
  <si>
    <t>4.4%</t>
  </si>
  <si>
    <t>5.5%</t>
  </si>
  <si>
    <t>3.8%</t>
  </si>
  <si>
    <t>4.9%</t>
  </si>
  <si>
    <t>4.6%</t>
  </si>
  <si>
    <t>0.1%</t>
  </si>
  <si>
    <t>7.2%</t>
  </si>
  <si>
    <t>-3.6%</t>
  </si>
  <si>
    <t>-7.2%</t>
  </si>
  <si>
    <t>-1.4%</t>
  </si>
  <si>
    <t>1.4%</t>
  </si>
  <si>
    <t>-7.1%</t>
  </si>
  <si>
    <t>-4.2%</t>
  </si>
  <si>
    <t>3.3%</t>
  </si>
  <si>
    <t>-1.6%</t>
  </si>
  <si>
    <t>0.6%</t>
  </si>
  <si>
    <t>1.0%</t>
  </si>
  <si>
    <t>-4.8%</t>
  </si>
  <si>
    <t>-0.6%</t>
  </si>
  <si>
    <t>-1.0%</t>
  </si>
  <si>
    <t>0.3%</t>
  </si>
  <si>
    <t>5.3%</t>
  </si>
  <si>
    <t>-3.8%</t>
  </si>
  <si>
    <t>-5.8%</t>
  </si>
  <si>
    <t>-1.3%</t>
  </si>
  <si>
    <t>1.9%</t>
  </si>
  <si>
    <t>14.9%</t>
  </si>
  <si>
    <t>0.2%</t>
  </si>
  <si>
    <t>-8.5%</t>
  </si>
  <si>
    <t>-19.4%</t>
  </si>
  <si>
    <t>-5.3%</t>
  </si>
  <si>
    <t>-41.1%</t>
  </si>
  <si>
    <t>66.2%</t>
  </si>
  <si>
    <t>-7.8%</t>
  </si>
  <si>
    <t>13.9%</t>
  </si>
  <si>
    <t>38.9%</t>
  </si>
  <si>
    <t>21.8%</t>
  </si>
  <si>
    <t>70.9%</t>
  </si>
  <si>
    <t>36.2%</t>
  </si>
  <si>
    <t>3.7%</t>
  </si>
  <si>
    <t>-1.5%</t>
  </si>
  <si>
    <t>-21.1%</t>
  </si>
  <si>
    <t>0.8%</t>
  </si>
  <si>
    <t>2.0%</t>
  </si>
  <si>
    <t>17.3%</t>
  </si>
  <si>
    <t>2.2%</t>
  </si>
  <si>
    <t>-5.9%</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</si>
  <si>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</si>
  <si>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</si>
  <si>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2021/05</t>
  </si>
  <si>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</si>
  <si>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</si>
  <si>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</si>
  <si>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</si>
  <si>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</si>
  <si>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</si>
  <si>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t>
  </si>
  <si>
    <t>2022年5月期(FY22)第2四半期　業績補足資料</t>
    <rPh sb="4" eb="5">
      <t>ネン</t>
    </rPh>
    <rPh sb="7" eb="8">
      <t>キ</t>
    </rPh>
    <rPh sb="14" eb="15">
      <t>ダイ</t>
    </rPh>
    <rPh sb="16" eb="17">
      <t>シ</t>
    </rPh>
    <rPh sb="17" eb="19">
      <t>ハンキ</t>
    </rPh>
    <rPh sb="20" eb="22">
      <t>ギョウセキ</t>
    </rPh>
    <rPh sb="22" eb="24">
      <t>ホソク</t>
    </rPh>
    <phoneticPr fontId="2"/>
  </si>
  <si>
    <t>2nd Quarter, Fiscal Year ending May 2022 (FY22) Business Result</t>
  </si>
  <si>
    <t>2021年11月30日現在 / as of November 30, 2021</t>
    <rPh sb="4" eb="5">
      <t>ネン</t>
    </rPh>
    <phoneticPr fontId="2"/>
  </si>
  <si>
    <t>2021/11</t>
  </si>
  <si>
    <t>33.1%</t>
  </si>
  <si>
    <t>-18.8%</t>
  </si>
  <si>
    <t>6.5%</t>
  </si>
  <si>
    <t>-0.8%</t>
  </si>
  <si>
    <t>-13.9%</t>
  </si>
  <si>
    <t>-0.3%</t>
  </si>
  <si>
    <t>-1.7%</t>
  </si>
  <si>
    <t>-6.1%</t>
  </si>
  <si>
    <t>-18.5%</t>
  </si>
  <si>
    <t>-0.9%</t>
  </si>
  <si>
    <t>24.7%</t>
  </si>
  <si>
    <t>-7.5%</t>
  </si>
  <si>
    <t>-2.1%</t>
  </si>
  <si>
    <t>10.8%</t>
  </si>
  <si>
    <t>8.1%</t>
  </si>
  <si>
    <t>-11.7%</t>
  </si>
  <si>
    <t>2.1%</t>
  </si>
  <si>
    <t>5.8%</t>
  </si>
  <si>
    <t>13.4%</t>
  </si>
  <si>
    <t>4.7%</t>
  </si>
  <si>
    <t>29.9%</t>
  </si>
  <si>
    <t>-11.9%</t>
  </si>
  <si>
    <t>16.6%</t>
  </si>
  <si>
    <t>-12.2%</t>
  </si>
  <si>
    <t>8.7%</t>
  </si>
  <si>
    <t>3.4%</t>
  </si>
  <si>
    <t>-12.8%</t>
  </si>
  <si>
    <t>1.8%</t>
  </si>
  <si>
    <t>2.7%</t>
  </si>
  <si>
    <t>-8.3%</t>
  </si>
  <si>
    <t>10.4%</t>
  </si>
  <si>
    <t>3.9%</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</si>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</sst>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rgb="FFFFFF99"/>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415">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7"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38" fontId="7" fillId="0" borderId="0" xfId="2" applyFont="1" applyFill="1" applyAlignment="1">
      <alignment horizontal="righ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0" fontId="26" fillId="0" borderId="29" xfId="0" applyFont="1" applyFill="1" applyBorder="1" applyAlignment="1"/>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30" xfId="2" applyFont="1" applyFill="1" applyBorder="1" applyAlignment="1">
      <alignment horizontal="center"/>
    </xf>
    <xf numFmtId="184" fontId="26" fillId="0" borderId="31" xfId="0" applyNumberFormat="1" applyFont="1" applyFill="1" applyBorder="1" applyAlignment="1"/>
    <xf numFmtId="38" fontId="26" fillId="0" borderId="32" xfId="2" applyFont="1" applyFill="1" applyBorder="1" applyAlignment="1">
      <alignment horizontal="center"/>
    </xf>
    <xf numFmtId="38" fontId="15" fillId="0" borderId="0" xfId="2" applyFont="1" applyFill="1" applyBorder="1" applyAlignment="1">
      <alignment horizontal="left"/>
    </xf>
    <xf numFmtId="38" fontId="26" fillId="0" borderId="29" xfId="2" applyFont="1" applyFill="1" applyBorder="1" applyAlignment="1">
      <alignment horizontal="right"/>
    </xf>
    <xf numFmtId="38" fontId="26" fillId="0" borderId="11" xfId="2" applyFont="1" applyFill="1" applyBorder="1" applyAlignment="1">
      <alignment horizontal="right"/>
    </xf>
    <xf numFmtId="38" fontId="26" fillId="0" borderId="33" xfId="2" applyFont="1" applyFill="1" applyBorder="1" applyAlignment="1">
      <alignment horizontal="right"/>
    </xf>
    <xf numFmtId="38" fontId="26" fillId="29" borderId="34" xfId="2" applyFont="1" applyFill="1" applyBorder="1" applyAlignment="1">
      <alignment horizontal="right"/>
    </xf>
    <xf numFmtId="38" fontId="26" fillId="0" borderId="35" xfId="2" applyFont="1" applyFill="1" applyBorder="1" applyAlignment="1">
      <alignment horizontal="right"/>
    </xf>
    <xf numFmtId="182" fontId="26" fillId="0" borderId="21" xfId="1" applyNumberFormat="1" applyFont="1" applyFill="1" applyBorder="1" applyAlignment="1">
      <alignment horizontal="right"/>
    </xf>
    <xf numFmtId="182" fontId="26" fillId="0" borderId="24" xfId="1" applyNumberFormat="1" applyFont="1" applyFill="1" applyBorder="1" applyAlignment="1">
      <alignment horizontal="right"/>
    </xf>
    <xf numFmtId="182" fontId="26" fillId="30" borderId="36"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29" borderId="37" xfId="1" applyNumberFormat="1" applyFont="1" applyFill="1" applyBorder="1" applyAlignment="1">
      <alignment horizontal="right"/>
    </xf>
    <xf numFmtId="182" fontId="26" fillId="30" borderId="24" xfId="1" applyNumberFormat="1" applyFont="1" applyFill="1" applyBorder="1" applyAlignment="1">
      <alignment horizontal="right"/>
    </xf>
    <xf numFmtId="182" fontId="26" fillId="0" borderId="33" xfId="1" applyNumberFormat="1" applyFont="1" applyFill="1" applyBorder="1" applyAlignment="1">
      <alignment horizontal="right"/>
    </xf>
    <xf numFmtId="182" fontId="26" fillId="0" borderId="25"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30" borderId="38" xfId="1" applyNumberFormat="1" applyFont="1" applyFill="1" applyBorder="1" applyAlignment="1">
      <alignment horizontal="right"/>
    </xf>
    <xf numFmtId="182" fontId="26" fillId="0" borderId="39" xfId="1" applyNumberFormat="1" applyFont="1" applyFill="1" applyBorder="1" applyAlignment="1">
      <alignment horizontal="right"/>
    </xf>
    <xf numFmtId="182" fontId="26" fillId="29" borderId="40" xfId="1" applyNumberFormat="1" applyFont="1" applyFill="1" applyBorder="1" applyAlignment="1">
      <alignment horizontal="right"/>
    </xf>
    <xf numFmtId="182" fontId="26" fillId="0" borderId="41" xfId="1" applyNumberFormat="1" applyFont="1" applyFill="1" applyBorder="1" applyAlignment="1">
      <alignment horizontal="right"/>
    </xf>
    <xf numFmtId="38" fontId="26" fillId="0" borderId="42" xfId="2" applyFont="1" applyFill="1" applyBorder="1" applyAlignment="1">
      <alignment horizontal="right"/>
    </xf>
    <xf numFmtId="38" fontId="26" fillId="30" borderId="35" xfId="2" applyFont="1" applyFill="1" applyBorder="1" applyAlignment="1">
      <alignment horizontal="right"/>
    </xf>
    <xf numFmtId="38" fontId="26" fillId="29" borderId="43" xfId="2" applyFont="1" applyFill="1" applyBorder="1" applyAlignment="1">
      <alignment horizontal="right"/>
    </xf>
    <xf numFmtId="182" fontId="26" fillId="29" borderId="44" xfId="1" applyNumberFormat="1" applyFont="1" applyFill="1" applyBorder="1" applyAlignment="1">
      <alignment horizontal="right"/>
    </xf>
    <xf numFmtId="182" fontId="26" fillId="0" borderId="45" xfId="1" applyNumberFormat="1" applyFont="1" applyFill="1" applyBorder="1" applyAlignment="1">
      <alignment horizontal="right"/>
    </xf>
    <xf numFmtId="182" fontId="26" fillId="30" borderId="33" xfId="1" applyNumberFormat="1" applyFont="1" applyFill="1" applyBorder="1" applyAlignment="1">
      <alignment horizontal="right"/>
    </xf>
    <xf numFmtId="182" fontId="26" fillId="29" borderId="46" xfId="1" applyNumberFormat="1" applyFont="1" applyFill="1" applyBorder="1" applyAlignment="1">
      <alignment horizontal="right"/>
    </xf>
    <xf numFmtId="182" fontId="26" fillId="0" borderId="47" xfId="1" applyNumberFormat="1" applyFont="1" applyFill="1" applyBorder="1" applyAlignment="1">
      <alignment horizontal="right"/>
    </xf>
    <xf numFmtId="182" fontId="26" fillId="30" borderId="39" xfId="1" applyNumberFormat="1" applyFont="1" applyFill="1" applyBorder="1" applyAlignment="1">
      <alignment horizontal="right"/>
    </xf>
    <xf numFmtId="182" fontId="26" fillId="29" borderId="48" xfId="1" applyNumberFormat="1" applyFont="1" applyFill="1" applyBorder="1" applyAlignment="1">
      <alignment horizontal="right"/>
    </xf>
    <xf numFmtId="0" fontId="26" fillId="0" borderId="0" xfId="0" applyFont="1" applyFill="1" applyAlignment="1">
      <alignment horizontal="left"/>
    </xf>
    <xf numFmtId="38" fontId="26" fillId="30" borderId="28" xfId="2" applyFont="1" applyFill="1" applyBorder="1" applyAlignment="1">
      <alignment horizontal="center"/>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9" xfId="0" applyFont="1" applyBorder="1" applyAlignment="1">
      <alignment horizontal="left"/>
    </xf>
    <xf numFmtId="3" fontId="26" fillId="0" borderId="35" xfId="2" applyNumberFormat="1" applyFont="1" applyFill="1" applyBorder="1" applyAlignment="1">
      <alignment horizontal="right"/>
    </xf>
    <xf numFmtId="3" fontId="26" fillId="29" borderId="43" xfId="2" applyNumberFormat="1" applyFont="1" applyFill="1" applyBorder="1" applyAlignment="1">
      <alignment horizontal="right"/>
    </xf>
    <xf numFmtId="0" fontId="26" fillId="0" borderId="47" xfId="0" applyFont="1" applyFill="1" applyBorder="1" applyAlignment="1">
      <alignment horizontal="left"/>
    </xf>
    <xf numFmtId="0" fontId="26" fillId="0" borderId="39" xfId="0" applyFont="1" applyFill="1" applyBorder="1" applyAlignment="1">
      <alignment horizontal="right"/>
    </xf>
    <xf numFmtId="38" fontId="26" fillId="0" borderId="39"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1" borderId="0" xfId="0" applyFont="1" applyFill="1" applyAlignment="1">
      <alignment horizontal="left"/>
    </xf>
    <xf numFmtId="184" fontId="26" fillId="0" borderId="51"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52" xfId="2" applyFont="1" applyFill="1" applyBorder="1" applyAlignment="1">
      <alignment horizontal="center"/>
    </xf>
    <xf numFmtId="182" fontId="26" fillId="0" borderId="17" xfId="1" applyNumberFormat="1" applyFont="1" applyFill="1" applyBorder="1" applyAlignment="1">
      <alignment horizontal="right"/>
    </xf>
    <xf numFmtId="38" fontId="17" fillId="0" borderId="53" xfId="2" applyFont="1" applyFill="1" applyBorder="1" applyAlignment="1">
      <alignment horizontal="center"/>
    </xf>
    <xf numFmtId="38" fontId="17" fillId="0" borderId="50" xfId="2" applyFont="1" applyFill="1" applyBorder="1" applyAlignment="1">
      <alignment horizontal="right"/>
    </xf>
    <xf numFmtId="38" fontId="17" fillId="0" borderId="39" xfId="2" applyFont="1" applyFill="1" applyBorder="1" applyAlignment="1">
      <alignment horizontal="right"/>
    </xf>
    <xf numFmtId="38" fontId="17" fillId="0" borderId="35" xfId="2" applyFont="1" applyFill="1" applyBorder="1" applyAlignment="1">
      <alignment horizontal="right"/>
    </xf>
    <xf numFmtId="38" fontId="17" fillId="0" borderId="36" xfId="2" applyFont="1" applyFill="1" applyBorder="1" applyAlignment="1">
      <alignment horizontal="right"/>
    </xf>
    <xf numFmtId="38" fontId="17" fillId="0" borderId="42" xfId="2" applyFont="1" applyFill="1" applyBorder="1" applyAlignment="1">
      <alignment horizontal="right"/>
    </xf>
    <xf numFmtId="38" fontId="17" fillId="0" borderId="41" xfId="2" applyFont="1" applyFill="1" applyBorder="1" applyAlignment="1">
      <alignment horizontal="right"/>
    </xf>
    <xf numFmtId="38" fontId="17" fillId="0" borderId="54" xfId="2" applyFont="1" applyFill="1" applyBorder="1" applyAlignment="1">
      <alignment horizontal="right"/>
    </xf>
    <xf numFmtId="38" fontId="17" fillId="0" borderId="55" xfId="2" applyFont="1" applyFill="1" applyBorder="1" applyAlignment="1">
      <alignment horizontal="center"/>
    </xf>
    <xf numFmtId="38" fontId="17" fillId="0" borderId="30" xfId="2" applyFont="1" applyFill="1" applyBorder="1" applyAlignment="1">
      <alignment horizontal="center"/>
    </xf>
    <xf numFmtId="38" fontId="17" fillId="0" borderId="39" xfId="2" applyFont="1" applyFill="1" applyBorder="1" applyAlignment="1"/>
    <xf numFmtId="38" fontId="17" fillId="0" borderId="33" xfId="2" applyFont="1" applyFill="1" applyBorder="1" applyAlignment="1">
      <alignment horizontal="right"/>
    </xf>
    <xf numFmtId="38" fontId="17" fillId="0" borderId="56" xfId="2" applyFont="1" applyFill="1" applyBorder="1" applyAlignment="1">
      <alignment horizontal="right"/>
    </xf>
    <xf numFmtId="38" fontId="17" fillId="0" borderId="57" xfId="2" applyFont="1" applyFill="1" applyBorder="1" applyAlignment="1">
      <alignment horizontal="right"/>
    </xf>
    <xf numFmtId="38" fontId="17" fillId="0" borderId="45" xfId="2" applyFont="1" applyFill="1" applyBorder="1" applyAlignment="1">
      <alignment horizontal="right"/>
    </xf>
    <xf numFmtId="38" fontId="24" fillId="0" borderId="45" xfId="2" applyFont="1" applyFill="1" applyBorder="1" applyAlignment="1">
      <alignment horizontal="right"/>
    </xf>
    <xf numFmtId="38" fontId="24" fillId="0" borderId="33" xfId="2" applyFont="1" applyFill="1" applyBorder="1" applyAlignment="1">
      <alignment horizontal="right"/>
    </xf>
    <xf numFmtId="38" fontId="24" fillId="0" borderId="34" xfId="2" applyFont="1" applyFill="1" applyBorder="1" applyAlignment="1">
      <alignment horizontal="right"/>
    </xf>
    <xf numFmtId="38" fontId="17" fillId="0" borderId="49" xfId="2" applyFont="1" applyBorder="1" applyAlignment="1">
      <alignment horizontal="right"/>
    </xf>
    <xf numFmtId="38" fontId="17" fillId="0" borderId="10" xfId="2" applyFont="1" applyBorder="1" applyAlignment="1">
      <alignment horizontal="right"/>
    </xf>
    <xf numFmtId="38" fontId="17" fillId="0" borderId="58" xfId="2" applyNumberFormat="1" applyFont="1" applyFill="1" applyBorder="1" applyAlignment="1">
      <alignment horizontal="right"/>
    </xf>
    <xf numFmtId="38" fontId="17" fillId="32" borderId="59" xfId="2" applyFont="1" applyFill="1" applyBorder="1" applyAlignment="1">
      <alignment horizontal="right"/>
    </xf>
    <xf numFmtId="38" fontId="17" fillId="32" borderId="34" xfId="2" applyFont="1" applyFill="1" applyBorder="1" applyAlignment="1">
      <alignment horizontal="right"/>
    </xf>
    <xf numFmtId="38" fontId="17" fillId="32" borderId="60" xfId="2" applyFont="1" applyFill="1" applyBorder="1" applyAlignment="1">
      <alignment horizontal="right"/>
    </xf>
    <xf numFmtId="222" fontId="17" fillId="0" borderId="10" xfId="2" applyNumberFormat="1" applyFont="1" applyFill="1" applyBorder="1" applyAlignment="1">
      <alignment horizontal="right"/>
    </xf>
    <xf numFmtId="222" fontId="17" fillId="0" borderId="58" xfId="2" applyNumberFormat="1" applyFont="1" applyFill="1" applyBorder="1" applyAlignment="1">
      <alignment horizontal="right"/>
    </xf>
    <xf numFmtId="222" fontId="17" fillId="0" borderId="49" xfId="2" applyNumberFormat="1" applyFont="1" applyBorder="1" applyAlignment="1">
      <alignment horizontal="right"/>
    </xf>
    <xf numFmtId="222" fontId="17" fillId="0" borderId="10" xfId="2" applyNumberFormat="1" applyFont="1" applyBorder="1" applyAlignment="1">
      <alignment horizontal="right"/>
    </xf>
    <xf numFmtId="38" fontId="17" fillId="0" borderId="47" xfId="2" applyFont="1" applyFill="1" applyBorder="1" applyAlignment="1"/>
    <xf numFmtId="38" fontId="24" fillId="0" borderId="49" xfId="2" applyFont="1" applyFill="1" applyBorder="1" applyAlignment="1">
      <alignment horizontal="right"/>
    </xf>
    <xf numFmtId="38" fontId="24" fillId="0" borderId="10" xfId="2" applyFont="1" applyFill="1" applyBorder="1" applyAlignment="1">
      <alignment horizontal="right"/>
    </xf>
    <xf numFmtId="38" fontId="24" fillId="0" borderId="60" xfId="2" applyFont="1" applyFill="1" applyBorder="1" applyAlignment="1">
      <alignment horizontal="right"/>
    </xf>
    <xf numFmtId="38" fontId="17" fillId="0" borderId="55" xfId="2" applyFont="1" applyFill="1" applyBorder="1" applyAlignment="1">
      <alignment horizontal="right"/>
    </xf>
    <xf numFmtId="38" fontId="17" fillId="0" borderId="28" xfId="2" applyFont="1" applyFill="1" applyBorder="1" applyAlignment="1">
      <alignment horizontal="right"/>
    </xf>
    <xf numFmtId="38" fontId="17" fillId="0" borderId="53" xfId="2" applyFont="1" applyFill="1" applyBorder="1" applyAlignment="1">
      <alignment horizontal="right"/>
    </xf>
    <xf numFmtId="38" fontId="17" fillId="0" borderId="61" xfId="2" applyNumberFormat="1" applyFont="1" applyFill="1" applyBorder="1" applyAlignment="1">
      <alignment horizontal="right"/>
    </xf>
    <xf numFmtId="38" fontId="17" fillId="0" borderId="62" xfId="2" applyFont="1" applyBorder="1" applyAlignment="1">
      <alignment horizontal="right"/>
    </xf>
    <xf numFmtId="38" fontId="17" fillId="0" borderId="63" xfId="2" applyFont="1" applyBorder="1" applyAlignment="1">
      <alignment horizontal="right"/>
    </xf>
    <xf numFmtId="182" fontId="24" fillId="0" borderId="64" xfId="1" applyNumberFormat="1" applyFont="1" applyFill="1" applyBorder="1" applyAlignment="1">
      <alignment horizontal="right"/>
    </xf>
    <xf numFmtId="182" fontId="24" fillId="0" borderId="65" xfId="1" applyNumberFormat="1" applyFont="1" applyFill="1" applyBorder="1" applyAlignment="1">
      <alignment horizontal="right"/>
    </xf>
    <xf numFmtId="182" fontId="24" fillId="0" borderId="66" xfId="1" applyNumberFormat="1" applyFont="1" applyFill="1" applyBorder="1" applyAlignment="1">
      <alignment horizontal="right"/>
    </xf>
    <xf numFmtId="182" fontId="24" fillId="0" borderId="36" xfId="1" applyNumberFormat="1" applyFont="1" applyFill="1" applyBorder="1" applyAlignment="1">
      <alignment horizontal="right"/>
    </xf>
    <xf numFmtId="182" fontId="24" fillId="0" borderId="67" xfId="1" applyNumberFormat="1" applyFont="1" applyFill="1" applyBorder="1" applyAlignment="1">
      <alignment horizontal="right"/>
    </xf>
    <xf numFmtId="38" fontId="17" fillId="0" borderId="68" xfId="2" applyFont="1" applyFill="1" applyBorder="1" applyAlignment="1">
      <alignment horizontal="right"/>
    </xf>
    <xf numFmtId="38" fontId="17" fillId="0" borderId="69" xfId="2" applyFont="1" applyFill="1" applyBorder="1" applyAlignment="1">
      <alignment horizontal="right"/>
    </xf>
    <xf numFmtId="0" fontId="26" fillId="0" borderId="70" xfId="0" applyFont="1" applyFill="1" applyBorder="1" applyAlignment="1">
      <alignment horizontal="right"/>
    </xf>
    <xf numFmtId="0" fontId="26" fillId="0" borderId="38" xfId="0" applyFont="1" applyFill="1" applyBorder="1" applyAlignment="1">
      <alignment horizontal="right"/>
    </xf>
    <xf numFmtId="38" fontId="26" fillId="29" borderId="71" xfId="2" applyFont="1" applyFill="1" applyBorder="1" applyAlignment="1">
      <alignment horizontal="right"/>
    </xf>
    <xf numFmtId="38" fontId="26" fillId="29" borderId="48" xfId="2" applyFont="1" applyFill="1" applyBorder="1" applyAlignment="1">
      <alignment horizontal="right" wrapText="1"/>
    </xf>
    <xf numFmtId="38" fontId="26" fillId="29" borderId="34" xfId="0" applyNumberFormat="1" applyFont="1" applyFill="1" applyBorder="1" applyAlignment="1">
      <alignment horizontal="right"/>
    </xf>
    <xf numFmtId="38" fontId="17" fillId="32" borderId="30" xfId="2" applyFont="1" applyFill="1" applyBorder="1" applyAlignment="1">
      <alignment horizontal="center"/>
    </xf>
    <xf numFmtId="38" fontId="17" fillId="32" borderId="73" xfId="2" applyFont="1" applyFill="1" applyBorder="1" applyAlignment="1">
      <alignment horizontal="right"/>
    </xf>
    <xf numFmtId="182" fontId="24" fillId="32" borderId="37" xfId="1" applyNumberFormat="1" applyFont="1" applyFill="1" applyBorder="1" applyAlignment="1">
      <alignment horizontal="right"/>
    </xf>
    <xf numFmtId="38" fontId="17" fillId="32" borderId="30" xfId="2" applyFont="1" applyFill="1" applyBorder="1" applyAlignment="1">
      <alignment horizontal="right"/>
    </xf>
    <xf numFmtId="38" fontId="17" fillId="32" borderId="52" xfId="2" applyFont="1" applyFill="1" applyBorder="1" applyAlignment="1">
      <alignment horizontal="center"/>
    </xf>
    <xf numFmtId="38" fontId="17" fillId="32" borderId="3" xfId="2" applyFont="1" applyFill="1" applyBorder="1" applyAlignment="1">
      <alignment horizontal="right"/>
    </xf>
    <xf numFmtId="38" fontId="17" fillId="32" borderId="22" xfId="2" applyFont="1" applyFill="1" applyBorder="1" applyAlignment="1">
      <alignment horizontal="right"/>
    </xf>
    <xf numFmtId="182" fontId="24" fillId="32" borderId="17" xfId="1" applyNumberFormat="1" applyFont="1" applyFill="1" applyBorder="1" applyAlignment="1">
      <alignment horizontal="right"/>
    </xf>
    <xf numFmtId="38" fontId="17" fillId="32" borderId="52" xfId="2" applyFont="1" applyFill="1" applyBorder="1" applyAlignment="1">
      <alignment horizontal="right"/>
    </xf>
    <xf numFmtId="38" fontId="17" fillId="32" borderId="17" xfId="2" applyNumberFormat="1" applyFont="1" applyFill="1" applyBorder="1" applyAlignment="1">
      <alignment horizontal="right"/>
    </xf>
    <xf numFmtId="38" fontId="17" fillId="32" borderId="60" xfId="2" applyNumberFormat="1" applyFont="1" applyFill="1" applyBorder="1" applyAlignment="1">
      <alignment horizontal="right"/>
    </xf>
    <xf numFmtId="38" fontId="17" fillId="32" borderId="0" xfId="2" applyNumberFormat="1" applyFont="1" applyFill="1" applyBorder="1" applyAlignment="1">
      <alignment horizontal="right"/>
    </xf>
    <xf numFmtId="38" fontId="17" fillId="32" borderId="22" xfId="2" applyNumberFormat="1" applyFont="1" applyFill="1" applyBorder="1" applyAlignment="1">
      <alignment horizontal="right"/>
    </xf>
    <xf numFmtId="38" fontId="17" fillId="32" borderId="51" xfId="2" applyNumberFormat="1" applyFont="1" applyFill="1" applyBorder="1" applyAlignment="1">
      <alignment horizontal="right"/>
    </xf>
    <xf numFmtId="38" fontId="17" fillId="32" borderId="6" xfId="2" applyNumberFormat="1" applyFont="1" applyFill="1" applyBorder="1" applyAlignment="1">
      <alignment horizontal="right"/>
    </xf>
    <xf numFmtId="222" fontId="17" fillId="32" borderId="6" xfId="2" applyNumberFormat="1" applyFont="1" applyFill="1" applyBorder="1" applyAlignment="1">
      <alignment horizontal="right"/>
    </xf>
    <xf numFmtId="38" fontId="17" fillId="32" borderId="13" xfId="2" applyNumberFormat="1" applyFont="1" applyFill="1" applyBorder="1" applyAlignment="1">
      <alignment horizontal="right"/>
    </xf>
    <xf numFmtId="38" fontId="17" fillId="0" borderId="72" xfId="2" applyFont="1" applyFill="1" applyBorder="1" applyAlignment="1">
      <alignment horizontal="right"/>
    </xf>
    <xf numFmtId="38" fontId="17" fillId="0" borderId="59" xfId="2" applyFont="1" applyFill="1" applyBorder="1" applyAlignment="1">
      <alignment horizontal="right"/>
    </xf>
    <xf numFmtId="38" fontId="17" fillId="0" borderId="30" xfId="2" applyFont="1" applyFill="1" applyBorder="1" applyAlignment="1">
      <alignment horizontal="right"/>
    </xf>
    <xf numFmtId="38" fontId="17" fillId="0" borderId="37" xfId="2" applyFont="1" applyFill="1" applyBorder="1" applyAlignment="1">
      <alignment horizontal="right"/>
    </xf>
    <xf numFmtId="38" fontId="17" fillId="0" borderId="34" xfId="2" applyFont="1" applyFill="1" applyBorder="1" applyAlignment="1">
      <alignment horizontal="right"/>
    </xf>
    <xf numFmtId="38" fontId="17" fillId="0" borderId="27" xfId="2" applyFont="1" applyFill="1" applyBorder="1" applyAlignment="1">
      <alignment horizontal="right"/>
    </xf>
    <xf numFmtId="38" fontId="17" fillId="0" borderId="60" xfId="2" applyFont="1" applyFill="1" applyBorder="1" applyAlignment="1">
      <alignment horizontal="right"/>
    </xf>
    <xf numFmtId="222" fontId="17" fillId="0" borderId="60" xfId="2" applyNumberFormat="1" applyFont="1" applyFill="1" applyBorder="1" applyAlignment="1">
      <alignment horizontal="right"/>
    </xf>
    <xf numFmtId="38" fontId="17" fillId="0" borderId="40" xfId="2" applyFont="1" applyFill="1" applyBorder="1" applyAlignment="1"/>
    <xf numFmtId="38" fontId="17" fillId="0" borderId="63" xfId="2" applyFont="1" applyFill="1" applyBorder="1" applyAlignment="1">
      <alignment horizontal="right"/>
    </xf>
    <xf numFmtId="38" fontId="17"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6" fillId="29" borderId="34"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2" xfId="0" applyFont="1" applyFill="1" applyBorder="1" applyAlignment="1">
      <alignment vertical="center"/>
    </xf>
    <xf numFmtId="183" fontId="7" fillId="0" borderId="22"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7" fillId="32" borderId="74" xfId="2" applyFont="1" applyFill="1" applyBorder="1" applyAlignment="1">
      <alignment horizontal="right"/>
    </xf>
    <xf numFmtId="38" fontId="122" fillId="0" borderId="0" xfId="2" applyFont="1" applyFill="1" applyBorder="1" applyAlignment="1">
      <alignment vertical="center"/>
    </xf>
    <xf numFmtId="38" fontId="17" fillId="0" borderId="63" xfId="2" applyNumberFormat="1" applyFont="1" applyFill="1" applyBorder="1" applyAlignment="1" applyProtection="1">
      <alignment horizontal="right"/>
      <protection locked="0"/>
    </xf>
    <xf numFmtId="38" fontId="17" fillId="33" borderId="74"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3" borderId="71"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9" xfId="2" applyNumberFormat="1" applyFont="1" applyFill="1" applyBorder="1" applyAlignment="1" applyProtection="1">
      <protection locked="0"/>
    </xf>
    <xf numFmtId="38" fontId="17" fillId="33" borderId="75"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76" xfId="0" applyNumberFormat="1" applyFont="1" applyFill="1" applyBorder="1" applyAlignment="1" applyProtection="1">
      <alignment horizontal="center"/>
      <protection locked="0"/>
    </xf>
    <xf numFmtId="49" fontId="7" fillId="23" borderId="77"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6" xfId="2" applyNumberFormat="1" applyFont="1" applyFill="1" applyBorder="1" applyAlignment="1" applyProtection="1">
      <protection locked="0"/>
    </xf>
    <xf numFmtId="222" fontId="7" fillId="0" borderId="24" xfId="2" applyNumberFormat="1" applyFont="1" applyFill="1" applyBorder="1" applyAlignment="1" applyProtection="1">
      <protection locked="0"/>
    </xf>
    <xf numFmtId="40" fontId="7" fillId="0" borderId="36" xfId="2" applyNumberFormat="1" applyFont="1" applyFill="1" applyBorder="1" applyAlignment="1" applyProtection="1">
      <alignment horizontal="right"/>
      <protection locked="0"/>
    </xf>
    <xf numFmtId="40" fontId="7" fillId="0" borderId="24"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9" xfId="0" applyFont="1" applyBorder="1" applyAlignment="1" applyProtection="1">
      <protection locked="0"/>
    </xf>
    <xf numFmtId="0" fontId="24" fillId="0" borderId="0" xfId="0" applyFont="1" applyBorder="1" applyAlignment="1" applyProtection="1">
      <protection locked="0"/>
    </xf>
    <xf numFmtId="0" fontId="117" fillId="0" borderId="78" xfId="0" applyFont="1" applyBorder="1" applyAlignment="1" applyProtection="1">
      <protection locked="0"/>
    </xf>
    <xf numFmtId="0" fontId="117" fillId="0" borderId="60" xfId="0" applyFont="1" applyBorder="1" applyAlignment="1" applyProtection="1">
      <protection locked="0"/>
    </xf>
    <xf numFmtId="0" fontId="117" fillId="0" borderId="29" xfId="0" applyFont="1" applyBorder="1" applyAlignment="1" applyProtection="1">
      <protection locked="0"/>
    </xf>
    <xf numFmtId="0" fontId="117" fillId="0" borderId="0" xfId="0" applyFont="1" applyBorder="1" applyAlignment="1" applyProtection="1">
      <protection locked="0"/>
    </xf>
    <xf numFmtId="182" fontId="117" fillId="0" borderId="79" xfId="1" applyNumberFormat="1" applyFont="1" applyBorder="1" applyAlignment="1" applyProtection="1">
      <protection locked="0"/>
    </xf>
    <xf numFmtId="182" fontId="117" fillId="0" borderId="80"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1"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3" xfId="0" applyFont="1" applyBorder="1" applyAlignment="1" applyProtection="1">
      <protection locked="0"/>
    </xf>
    <xf numFmtId="0" fontId="117" fillId="0" borderId="22" xfId="0" applyFont="1" applyBorder="1" applyAlignment="1" applyProtection="1">
      <protection locked="0"/>
    </xf>
    <xf numFmtId="0" fontId="118" fillId="23" borderId="31" xfId="0" applyFont="1" applyFill="1" applyBorder="1" applyAlignment="1" applyProtection="1">
      <protection locked="0"/>
    </xf>
    <xf numFmtId="0" fontId="118" fillId="23" borderId="78" xfId="0" applyFont="1" applyFill="1" applyBorder="1" applyAlignment="1" applyProtection="1">
      <protection locked="0"/>
    </xf>
    <xf numFmtId="0" fontId="121" fillId="0" borderId="0" xfId="0" applyFont="1" applyAlignment="1" applyProtection="1"/>
    <xf numFmtId="184" fontId="17" fillId="0" borderId="51" xfId="0" applyNumberFormat="1" applyFont="1" applyBorder="1" applyAlignment="1" applyProtection="1">
      <protection locked="0"/>
    </xf>
    <xf numFmtId="184" fontId="17" fillId="0" borderId="51" xfId="0" applyNumberFormat="1" applyFont="1" applyBorder="1" applyAlignment="1" applyProtection="1">
      <alignment horizontal="center"/>
      <protection locked="0"/>
    </xf>
    <xf numFmtId="38" fontId="17" fillId="0" borderId="51" xfId="2" applyFont="1" applyFill="1" applyBorder="1" applyAlignment="1" applyProtection="1">
      <protection locked="0"/>
    </xf>
    <xf numFmtId="184" fontId="120" fillId="0" borderId="27" xfId="0" applyNumberFormat="1" applyFont="1" applyBorder="1" applyAlignment="1" applyProtection="1">
      <protection locked="0"/>
    </xf>
    <xf numFmtId="184" fontId="120" fillId="0" borderId="51" xfId="0" applyNumberFormat="1" applyFont="1" applyFill="1" applyBorder="1" applyAlignment="1" applyProtection="1">
      <protection locked="0"/>
    </xf>
    <xf numFmtId="184" fontId="17" fillId="0" borderId="31" xfId="0" applyNumberFormat="1" applyFont="1" applyBorder="1" applyAlignment="1" applyProtection="1">
      <alignment horizontal="center"/>
      <protection locked="0"/>
    </xf>
    <xf numFmtId="184" fontId="17" fillId="0" borderId="63" xfId="0" applyNumberFormat="1" applyFont="1" applyBorder="1" applyAlignment="1" applyProtection="1">
      <alignment horizontal="center"/>
      <protection locked="0"/>
    </xf>
    <xf numFmtId="184" fontId="17" fillId="0" borderId="27" xfId="0" applyNumberFormat="1" applyFont="1" applyBorder="1" applyAlignment="1" applyProtection="1">
      <alignment horizontal="center"/>
      <protection locked="0"/>
    </xf>
    <xf numFmtId="38" fontId="17" fillId="0" borderId="36" xfId="2" applyNumberFormat="1" applyFont="1" applyFill="1" applyBorder="1" applyAlignment="1" applyProtection="1">
      <alignment horizontal="right"/>
      <protection locked="0"/>
    </xf>
    <xf numFmtId="38" fontId="17" fillId="32" borderId="37" xfId="2" applyFont="1" applyFill="1" applyBorder="1" applyAlignment="1" applyProtection="1">
      <alignment horizontal="right"/>
      <protection locked="0"/>
    </xf>
    <xf numFmtId="38" fontId="24" fillId="0" borderId="33" xfId="2" applyNumberFormat="1" applyFont="1" applyFill="1" applyBorder="1" applyAlignment="1" applyProtection="1">
      <alignment horizontal="right"/>
      <protection locked="0"/>
    </xf>
    <xf numFmtId="38" fontId="17" fillId="32" borderId="60"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3" xfId="2" applyNumberFormat="1" applyFont="1" applyFill="1" applyBorder="1" applyAlignment="1" applyProtection="1">
      <alignment horizontal="right"/>
      <protection locked="0"/>
    </xf>
    <xf numFmtId="38" fontId="17" fillId="32" borderId="34" xfId="2" applyFont="1" applyFill="1" applyBorder="1" applyAlignment="1" applyProtection="1">
      <alignment horizontal="right"/>
      <protection locked="0"/>
    </xf>
    <xf numFmtId="38" fontId="17" fillId="0" borderId="35" xfId="2" applyNumberFormat="1" applyFont="1" applyFill="1" applyBorder="1" applyAlignment="1" applyProtection="1">
      <alignment horizontal="right"/>
      <protection locked="0"/>
    </xf>
    <xf numFmtId="38" fontId="17" fillId="32" borderId="59"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7" fillId="0" borderId="17" xfId="2" applyFont="1" applyFill="1" applyBorder="1" applyAlignment="1" applyProtection="1">
      <alignment horizontal="right"/>
      <protection locked="0"/>
    </xf>
    <xf numFmtId="38" fontId="24" fillId="0" borderId="0" xfId="2" applyFont="1" applyFill="1" applyBorder="1" applyAlignment="1" applyProtection="1">
      <alignment horizontal="right"/>
      <protection locked="0"/>
    </xf>
    <xf numFmtId="38" fontId="24" fillId="0" borderId="6" xfId="2" applyFont="1" applyFill="1" applyBorder="1" applyAlignment="1" applyProtection="1">
      <alignment horizontal="right"/>
      <protection locked="0"/>
    </xf>
    <xf numFmtId="38" fontId="17" fillId="0" borderId="0" xfId="2" applyFont="1" applyFill="1" applyBorder="1" applyAlignment="1" applyProtection="1">
      <alignment horizontal="right"/>
      <protection locked="0"/>
    </xf>
    <xf numFmtId="38" fontId="17" fillId="0" borderId="22" xfId="2" applyFont="1" applyFill="1" applyBorder="1" applyAlignment="1" applyProtection="1">
      <alignment horizontal="right"/>
      <protection locked="0"/>
    </xf>
    <xf numFmtId="38" fontId="17" fillId="0" borderId="51" xfId="2" applyFont="1" applyFill="1" applyBorder="1" applyAlignment="1" applyProtection="1">
      <alignment horizontal="right"/>
      <protection locked="0"/>
    </xf>
    <xf numFmtId="38" fontId="17" fillId="0" borderId="6" xfId="2" applyFont="1" applyFill="1" applyBorder="1" applyAlignment="1" applyProtection="1">
      <alignment horizontal="right"/>
      <protection locked="0"/>
    </xf>
    <xf numFmtId="222" fontId="17" fillId="0" borderId="6" xfId="2" applyNumberFormat="1" applyFont="1" applyFill="1" applyBorder="1" applyAlignment="1" applyProtection="1">
      <alignment horizontal="right"/>
      <protection locked="0"/>
    </xf>
    <xf numFmtId="38" fontId="17" fillId="0" borderId="13" xfId="2" applyFont="1" applyFill="1" applyBorder="1" applyAlignment="1" applyProtection="1">
      <alignment horizontal="right"/>
      <protection locked="0"/>
    </xf>
    <xf numFmtId="184" fontId="17" fillId="0" borderId="51" xfId="0" applyNumberFormat="1" applyFont="1" applyFill="1" applyBorder="1" applyAlignment="1" applyProtection="1">
      <alignment horizontal="center"/>
      <protection locked="0"/>
    </xf>
    <xf numFmtId="38" fontId="17" fillId="0" borderId="67" xfId="2" applyFont="1" applyFill="1" applyBorder="1" applyAlignment="1">
      <alignment horizontal="right"/>
    </xf>
    <xf numFmtId="38" fontId="24" fillId="0" borderId="16" xfId="2" applyFont="1" applyFill="1" applyBorder="1" applyAlignment="1">
      <alignment horizontal="right"/>
    </xf>
    <xf numFmtId="38" fontId="24" fillId="0" borderId="58" xfId="2" applyFont="1" applyFill="1" applyBorder="1" applyAlignment="1">
      <alignment horizontal="right"/>
    </xf>
    <xf numFmtId="38" fontId="17" fillId="0" borderId="16" xfId="2" applyFont="1" applyFill="1" applyBorder="1" applyAlignment="1">
      <alignment horizontal="right"/>
    </xf>
    <xf numFmtId="38" fontId="17" fillId="0" borderId="81" xfId="2" applyFont="1" applyFill="1" applyBorder="1" applyAlignment="1">
      <alignment horizontal="right"/>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38" fontId="17" fillId="30" borderId="28" xfId="2" applyFont="1" applyFill="1" applyBorder="1" applyAlignment="1">
      <alignment horizontal="center"/>
    </xf>
    <xf numFmtId="38" fontId="17" fillId="30" borderId="63" xfId="2" applyFont="1" applyFill="1" applyBorder="1" applyAlignment="1">
      <alignment horizontal="right"/>
    </xf>
    <xf numFmtId="38" fontId="17" fillId="30" borderId="35" xfId="2" applyFont="1" applyFill="1" applyBorder="1" applyAlignment="1">
      <alignment horizontal="right"/>
    </xf>
    <xf numFmtId="38" fontId="17" fillId="30" borderId="68" xfId="2" applyFont="1" applyFill="1" applyBorder="1" applyAlignment="1">
      <alignment horizontal="right"/>
    </xf>
    <xf numFmtId="182" fontId="24" fillId="30" borderId="36" xfId="1" applyNumberFormat="1" applyFont="1" applyFill="1" applyBorder="1" applyAlignment="1">
      <alignment horizontal="right"/>
    </xf>
    <xf numFmtId="38" fontId="17" fillId="30" borderId="28" xfId="2" applyFont="1" applyFill="1" applyBorder="1" applyAlignment="1">
      <alignment horizontal="right"/>
    </xf>
    <xf numFmtId="38" fontId="17" fillId="30" borderId="36" xfId="2" applyFont="1" applyFill="1" applyBorder="1" applyAlignment="1" applyProtection="1">
      <alignment horizontal="right"/>
      <protection locked="0"/>
    </xf>
    <xf numFmtId="38" fontId="24" fillId="30" borderId="33" xfId="2" applyFont="1" applyFill="1" applyBorder="1" applyAlignment="1" applyProtection="1">
      <alignment horizontal="right"/>
      <protection locked="0"/>
    </xf>
    <xf numFmtId="38" fontId="24" fillId="30" borderId="10" xfId="2" applyFont="1" applyFill="1" applyBorder="1" applyAlignment="1" applyProtection="1">
      <alignment horizontal="right"/>
      <protection locked="0"/>
    </xf>
    <xf numFmtId="38" fontId="17" fillId="30" borderId="33" xfId="2" applyFont="1" applyFill="1" applyBorder="1" applyAlignment="1" applyProtection="1">
      <alignment horizontal="right"/>
      <protection locked="0"/>
    </xf>
    <xf numFmtId="38" fontId="17" fillId="30" borderId="35" xfId="2" applyFont="1" applyFill="1" applyBorder="1" applyAlignment="1" applyProtection="1">
      <alignment horizontal="right"/>
      <protection locked="0"/>
    </xf>
    <xf numFmtId="38" fontId="17" fillId="30" borderId="63" xfId="2" applyNumberFormat="1" applyFont="1" applyFill="1" applyBorder="1" applyAlignment="1" applyProtection="1">
      <alignment horizontal="right"/>
      <protection locked="0"/>
    </xf>
    <xf numFmtId="38" fontId="17" fillId="30" borderId="10" xfId="2" applyNumberFormat="1" applyFont="1" applyFill="1" applyBorder="1" applyAlignment="1" applyProtection="1">
      <alignment horizontal="right"/>
      <protection locked="0"/>
    </xf>
    <xf numFmtId="222" fontId="17" fillId="30" borderId="10" xfId="2" applyNumberFormat="1" applyFont="1" applyFill="1" applyBorder="1" applyAlignment="1" applyProtection="1">
      <alignment horizontal="right"/>
      <protection locked="0"/>
    </xf>
    <xf numFmtId="38" fontId="17" fillId="30" borderId="39" xfId="2" applyFont="1" applyFill="1" applyBorder="1" applyAlignment="1" applyProtection="1">
      <protection locked="0"/>
    </xf>
    <xf numFmtId="38" fontId="17" fillId="30" borderId="50" xfId="2" applyFont="1" applyFill="1" applyBorder="1" applyAlignment="1">
      <alignment horizontal="right"/>
    </xf>
    <xf numFmtId="38" fontId="17" fillId="30" borderId="36" xfId="2" applyFont="1" applyFill="1" applyBorder="1" applyAlignment="1">
      <alignment horizontal="right"/>
    </xf>
    <xf numFmtId="38" fontId="24" fillId="30" borderId="33" xfId="2" applyFont="1" applyFill="1" applyBorder="1" applyAlignment="1">
      <alignment horizontal="right"/>
    </xf>
    <xf numFmtId="38" fontId="24" fillId="30" borderId="10" xfId="2" applyFont="1" applyFill="1" applyBorder="1" applyAlignment="1">
      <alignment horizontal="right"/>
    </xf>
    <xf numFmtId="38" fontId="17" fillId="30" borderId="33" xfId="2" applyFont="1" applyFill="1" applyBorder="1" applyAlignment="1">
      <alignment horizontal="right"/>
    </xf>
    <xf numFmtId="38" fontId="17" fillId="30" borderId="10" xfId="2" applyFont="1" applyFill="1" applyBorder="1" applyAlignment="1">
      <alignment horizontal="right"/>
    </xf>
    <xf numFmtId="222" fontId="17" fillId="30" borderId="10" xfId="2" applyNumberFormat="1" applyFont="1" applyFill="1" applyBorder="1" applyAlignment="1">
      <alignment horizontal="right"/>
    </xf>
    <xf numFmtId="38" fontId="17" fillId="30" borderId="39" xfId="2" applyFont="1" applyFill="1" applyBorder="1" applyAlignment="1"/>
    <xf numFmtId="38" fontId="26" fillId="30" borderId="11" xfId="2" applyFont="1" applyFill="1" applyBorder="1" applyAlignment="1">
      <alignment horizontal="right"/>
    </xf>
    <xf numFmtId="38" fontId="26" fillId="30" borderId="33" xfId="2" applyFont="1" applyFill="1" applyBorder="1" applyAlignment="1">
      <alignment horizontal="right"/>
    </xf>
    <xf numFmtId="3" fontId="26" fillId="30" borderId="35" xfId="2" applyNumberFormat="1" applyFont="1" applyFill="1" applyBorder="1" applyAlignment="1">
      <alignment horizontal="right"/>
    </xf>
    <xf numFmtId="38" fontId="26" fillId="30" borderId="10" xfId="2" applyFont="1" applyFill="1" applyBorder="1" applyAlignment="1">
      <alignment horizontal="right"/>
    </xf>
    <xf numFmtId="38" fontId="26" fillId="30" borderId="39" xfId="2" applyFont="1" applyFill="1" applyBorder="1" applyAlignment="1">
      <alignment horizontal="right" wrapText="1"/>
    </xf>
    <xf numFmtId="38" fontId="26" fillId="0" borderId="56" xfId="2" applyFont="1" applyFill="1" applyBorder="1" applyAlignment="1">
      <alignment horizontal="right"/>
    </xf>
    <xf numFmtId="182" fontId="26" fillId="0" borderId="67" xfId="1" applyNumberFormat="1" applyFont="1" applyFill="1" applyBorder="1" applyAlignment="1">
      <alignment horizontal="right"/>
    </xf>
    <xf numFmtId="3" fontId="26" fillId="0" borderId="56"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81" xfId="1" applyNumberFormat="1" applyFont="1" applyFill="1" applyBorder="1" applyAlignment="1">
      <alignment horizontal="right"/>
    </xf>
    <xf numFmtId="38" fontId="26" fillId="0" borderId="49" xfId="2" applyFont="1" applyFill="1" applyBorder="1" applyAlignment="1">
      <alignment horizontal="right"/>
    </xf>
    <xf numFmtId="38" fontId="26" fillId="0" borderId="47" xfId="2" applyFont="1" applyFill="1" applyBorder="1" applyAlignment="1">
      <alignment horizontal="right" wrapText="1"/>
    </xf>
    <xf numFmtId="3" fontId="26" fillId="0" borderId="42" xfId="2" applyNumberFormat="1" applyFont="1" applyFill="1" applyBorder="1" applyAlignment="1">
      <alignment horizontal="right"/>
    </xf>
    <xf numFmtId="184" fontId="17" fillId="0" borderId="31" xfId="0" applyNumberFormat="1" applyFont="1" applyFill="1" applyBorder="1" applyAlignment="1" applyProtection="1">
      <protection locked="0"/>
    </xf>
    <xf numFmtId="38" fontId="17" fillId="0" borderId="82" xfId="2" applyFont="1" applyFill="1" applyBorder="1" applyAlignment="1">
      <alignment horizontal="right"/>
    </xf>
    <xf numFmtId="182" fontId="24" fillId="0" borderId="41" xfId="1" applyNumberFormat="1" applyFont="1" applyFill="1" applyBorder="1" applyAlignment="1">
      <alignment horizontal="right"/>
    </xf>
    <xf numFmtId="38" fontId="17" fillId="0" borderId="41" xfId="2" applyFont="1" applyFill="1" applyBorder="1" applyAlignment="1" applyProtection="1">
      <alignment horizontal="right"/>
      <protection locked="0"/>
    </xf>
    <xf numFmtId="38" fontId="24" fillId="0" borderId="45" xfId="2" applyFont="1" applyFill="1" applyBorder="1" applyAlignment="1" applyProtection="1">
      <alignment horizontal="right"/>
      <protection locked="0"/>
    </xf>
    <xf numFmtId="38" fontId="24" fillId="0" borderId="49" xfId="2" applyFont="1" applyFill="1" applyBorder="1" applyAlignment="1" applyProtection="1">
      <alignment horizontal="right"/>
      <protection locked="0"/>
    </xf>
    <xf numFmtId="38" fontId="17" fillId="0" borderId="45" xfId="2" applyFont="1" applyFill="1" applyBorder="1" applyAlignment="1" applyProtection="1">
      <alignment horizontal="right"/>
      <protection locked="0"/>
    </xf>
    <xf numFmtId="38" fontId="17" fillId="0" borderId="42" xfId="2" applyFont="1" applyFill="1" applyBorder="1" applyAlignment="1" applyProtection="1">
      <alignment horizontal="right"/>
      <protection locked="0"/>
    </xf>
    <xf numFmtId="38" fontId="17" fillId="0" borderId="31" xfId="2" applyFont="1" applyFill="1" applyBorder="1" applyAlignment="1" applyProtection="1">
      <alignment horizontal="right"/>
      <protection locked="0"/>
    </xf>
    <xf numFmtId="38" fontId="17" fillId="0" borderId="78" xfId="2" applyFont="1" applyFill="1" applyBorder="1" applyAlignment="1" applyProtection="1">
      <alignment horizontal="right"/>
      <protection locked="0"/>
    </xf>
    <xf numFmtId="222" fontId="17" fillId="0" borderId="78" xfId="2" applyNumberFormat="1" applyFont="1" applyFill="1" applyBorder="1" applyAlignment="1" applyProtection="1">
      <alignment horizontal="right"/>
      <protection locked="0"/>
    </xf>
    <xf numFmtId="38" fontId="17" fillId="0" borderId="47" xfId="2" applyFont="1" applyFill="1" applyBorder="1" applyAlignment="1" applyProtection="1">
      <protection locked="0"/>
    </xf>
    <xf numFmtId="38" fontId="17" fillId="0" borderId="0" xfId="2" applyFont="1" applyFill="1" applyAlignment="1" applyProtection="1">
      <protection locked="0"/>
    </xf>
    <xf numFmtId="184" fontId="17" fillId="0" borderId="51" xfId="0" applyNumberFormat="1" applyFont="1" applyFill="1" applyBorder="1" applyAlignment="1" applyProtection="1">
      <protection locked="0"/>
    </xf>
    <xf numFmtId="38" fontId="17" fillId="0" borderId="67" xfId="2" applyNumberFormat="1" applyFont="1" applyFill="1" applyBorder="1" applyAlignment="1">
      <alignment horizontal="right"/>
    </xf>
    <xf numFmtId="38" fontId="24" fillId="0" borderId="16" xfId="2" applyNumberFormat="1" applyFont="1" applyFill="1" applyBorder="1" applyAlignment="1">
      <alignment horizontal="right"/>
    </xf>
    <xf numFmtId="38" fontId="24" fillId="0" borderId="58" xfId="2" applyNumberFormat="1" applyFont="1" applyFill="1" applyBorder="1" applyAlignment="1">
      <alignment horizontal="right"/>
    </xf>
    <xf numFmtId="38" fontId="17" fillId="0" borderId="16" xfId="2" applyNumberFormat="1" applyFont="1" applyFill="1" applyBorder="1" applyAlignment="1">
      <alignment horizontal="right"/>
    </xf>
    <xf numFmtId="38" fontId="17" fillId="0" borderId="56" xfId="2" applyNumberFormat="1" applyFont="1" applyFill="1" applyBorder="1" applyAlignment="1">
      <alignment horizontal="right"/>
    </xf>
    <xf numFmtId="38" fontId="17" fillId="0" borderId="81" xfId="2" applyNumberFormat="1" applyFont="1" applyFill="1" applyBorder="1" applyAlignment="1"/>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6"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9" xfId="0" applyFont="1" applyFill="1" applyBorder="1" applyAlignment="1">
      <alignment horizontal="left" wrapText="1"/>
    </xf>
    <xf numFmtId="0" fontId="26" fillId="0" borderId="0" xfId="0" applyFont="1" applyFill="1" applyBorder="1" applyAlignment="1">
      <alignment horizontal="left" wrapText="1"/>
    </xf>
    <xf numFmtId="0" fontId="26" fillId="0" borderId="21" xfId="0" applyFont="1" applyFill="1" applyBorder="1" applyAlignment="1">
      <alignment horizontal="left" wrapText="1"/>
    </xf>
    <xf numFmtId="0" fontId="26" fillId="0" borderId="17" xfId="0" applyFont="1" applyFill="1" applyBorder="1" applyAlignment="1">
      <alignment horizontal="left" wrapText="1"/>
    </xf>
    <xf numFmtId="0" fontId="26" fillId="0" borderId="23" xfId="0" applyFont="1" applyFill="1" applyBorder="1" applyAlignment="1">
      <alignment horizontal="left" wrapText="1"/>
    </xf>
    <xf numFmtId="0" fontId="26" fillId="0" borderId="22"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11" xfId="0" applyFont="1" applyFill="1" applyBorder="1" applyAlignment="1">
      <alignment horizontal="left" wrapText="1"/>
    </xf>
    <xf numFmtId="0" fontId="26" fillId="0" borderId="24" xfId="0" applyFont="1" applyFill="1" applyBorder="1" applyAlignment="1">
      <alignment horizontal="left" wrapText="1"/>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4.2500000000000003E-3"/>
                  <c:y val="-0.298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50-46A3-8A9D-9E2033BE63E9}"/>
                </c:ext>
              </c:extLst>
            </c:dLbl>
            <c:dLbl>
              <c:idx val="1"/>
              <c:layout>
                <c:manualLayout>
                  <c:x val="4.7499999999999999E-3"/>
                  <c:y val="-0.306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50-46A3-8A9D-9E2033BE63E9}"/>
                </c:ext>
              </c:extLst>
            </c:dLbl>
            <c:dLbl>
              <c:idx val="2"/>
              <c:layout>
                <c:manualLayout>
                  <c:x val="8.2500000000000004E-3"/>
                  <c:y val="-0.325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50-46A3-8A9D-9E2033BE63E9}"/>
                </c:ext>
              </c:extLst>
            </c:dLbl>
            <c:dLbl>
              <c:idx val="3"/>
              <c:layout>
                <c:manualLayout>
                  <c:x val="7.4999999999999997E-3"/>
                  <c:y val="-0.350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50-46A3-8A9D-9E2033BE63E9}"/>
                </c:ext>
              </c:extLst>
            </c:dLbl>
            <c:dLbl>
              <c:idx val="4"/>
              <c:layout>
                <c:manualLayout>
                  <c:x val="1.4250000000000001E-2"/>
                  <c:y val="-0.35799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50-46A3-8A9D-9E2033BE63E9}"/>
                </c:ext>
              </c:extLst>
            </c:dLbl>
            <c:dLbl>
              <c:idx val="5"/>
              <c:layout>
                <c:manualLayout>
                  <c:x val="1.6750000000000001E-2"/>
                  <c:y val="-0.440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50-46A3-8A9D-9E2033BE63E9}"/>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44317</c:v>
                </c:pt>
                <c:pt idx="1">
                  <c:v>43952</c:v>
                </c:pt>
                <c:pt idx="2">
                  <c:v>43586</c:v>
                </c:pt>
                <c:pt idx="3">
                  <c:v>43221</c:v>
                </c:pt>
                <c:pt idx="4">
                  <c:v>42856</c:v>
                </c:pt>
              </c:numCache>
            </c:numRef>
          </c:cat>
          <c:val>
            <c:numRef>
              <c:f>'3.Summary'!$M$5:$Q$5</c:f>
              <c:numCache>
                <c:formatCode>#,##0_);[Red]\(#,##0\)</c:formatCode>
                <c:ptCount val="5"/>
                <c:pt idx="0">
                  <c:v>208523</c:v>
                </c:pt>
                <c:pt idx="1">
                  <c:v>211357</c:v>
                </c:pt>
                <c:pt idx="2">
                  <c:v>202389</c:v>
                </c:pt>
                <c:pt idx="3">
                  <c:v>185481</c:v>
                </c:pt>
                <c:pt idx="4">
                  <c:v>173190</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214191698"/>
        <c:axId val="1595254229"/>
        <c:axId val="0"/>
      </c:bar3DChart>
      <c:dateAx>
        <c:axId val="1214191698"/>
        <c:scaling>
          <c:orientation val="minMax"/>
          <c:max val="44317"/>
          <c:min val="4285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595254229"/>
        <c:crosses val="autoZero"/>
        <c:auto val="1"/>
        <c:lblOffset val="100"/>
        <c:baseTimeUnit val="years"/>
      </c:dateAx>
      <c:valAx>
        <c:axId val="1595254229"/>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214191698"/>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9.4999999999999998E-3"/>
                  <c:y val="-0.2937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6C-4370-9F25-4062160CD338}"/>
                </c:ext>
              </c:extLst>
            </c:dLbl>
            <c:dLbl>
              <c:idx val="1"/>
              <c:layout>
                <c:manualLayout>
                  <c:x val="1.325E-2"/>
                  <c:y val="-0.326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6C-4370-9F25-4062160CD338}"/>
                </c:ext>
              </c:extLst>
            </c:dLbl>
            <c:dLbl>
              <c:idx val="2"/>
              <c:layout>
                <c:manualLayout>
                  <c:x val="6.4999999999999997E-3"/>
                  <c:y val="-0.357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6C-4370-9F25-4062160CD338}"/>
                </c:ext>
              </c:extLst>
            </c:dLbl>
            <c:dLbl>
              <c:idx val="3"/>
              <c:layout>
                <c:manualLayout>
                  <c:x val="5.2500000000000003E-3"/>
                  <c:y val="-0.382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6C-4370-9F25-4062160CD338}"/>
                </c:ext>
              </c:extLst>
            </c:dLbl>
            <c:dLbl>
              <c:idx val="4"/>
              <c:layout>
                <c:manualLayout>
                  <c:x val="1.0500000000000001E-2"/>
                  <c:y val="-0.39250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6C-4370-9F25-4062160CD338}"/>
                </c:ext>
              </c:extLst>
            </c:dLbl>
            <c:dLbl>
              <c:idx val="5"/>
              <c:layout>
                <c:manualLayout>
                  <c:x val="2.0750000000000001E-2"/>
                  <c:y val="-0.37075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6C-4370-9F25-4062160CD338}"/>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44317</c:v>
                </c:pt>
                <c:pt idx="1">
                  <c:v>43952</c:v>
                </c:pt>
                <c:pt idx="2">
                  <c:v>43586</c:v>
                </c:pt>
                <c:pt idx="3">
                  <c:v>43221</c:v>
                </c:pt>
                <c:pt idx="4">
                  <c:v>42856</c:v>
                </c:pt>
              </c:numCache>
            </c:numRef>
          </c:cat>
          <c:val>
            <c:numRef>
              <c:f>'3.Summary'!$M$12:$Q$12</c:f>
              <c:numCache>
                <c:formatCode>#,##0_);[Red]\(#,##0\)</c:formatCode>
                <c:ptCount val="5"/>
                <c:pt idx="0">
                  <c:v>49175</c:v>
                </c:pt>
                <c:pt idx="1">
                  <c:v>47686</c:v>
                </c:pt>
                <c:pt idx="2">
                  <c:v>43360</c:v>
                </c:pt>
                <c:pt idx="3">
                  <c:v>38751</c:v>
                </c:pt>
                <c:pt idx="4">
                  <c:v>36360</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89746689"/>
        <c:axId val="1814798703"/>
        <c:axId val="0"/>
      </c:bar3DChart>
      <c:dateAx>
        <c:axId val="89746689"/>
        <c:scaling>
          <c:orientation val="minMax"/>
          <c:max val="4419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814798703"/>
        <c:crosses val="autoZero"/>
        <c:auto val="1"/>
        <c:lblOffset val="100"/>
        <c:baseTimeUnit val="years"/>
        <c:majorUnit val="1"/>
        <c:majorTimeUnit val="years"/>
        <c:minorUnit val="1"/>
        <c:minorTimeUnit val="years"/>
      </c:dateAx>
      <c:valAx>
        <c:axId val="1814798703"/>
        <c:scaling>
          <c:orientation val="minMax"/>
          <c:max val="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89746689"/>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1972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862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6747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60691" y="867706"/>
          <a:ext cx="7730945" cy="4270556"/>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2044484"/>
              <a:ext cx="768972" cy="1948478"/>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498335"/>
              <a:ext cx="796641" cy="248364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FY21Q2
6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FY22Q2</a:t>
              </a:r>
            </a:p>
            <a:p>
              <a:pPr>
                <a:lnSpc>
                  <a:spcPct val="70000"/>
                </a:lnSpc>
                <a:spcBef>
                  <a:spcPct val="0"/>
                </a:spcBef>
              </a:pPr>
              <a:r>
                <a:rPr lang="en-US" altLang="ja-JP" b="1">
                  <a:latin typeface="Meiryo UI" pitchFamily="50" charset="-128"/>
                  <a:ea typeface="Meiryo UI" pitchFamily="50" charset="-128"/>
                  <a:cs typeface="Meiryo UI" pitchFamily="50" charset="-128"/>
                </a:rPr>
                <a:t>6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538445"/>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100,246</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557101"/>
              <a:ext cx="930018" cy="46863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2" y="1454934"/>
              <a:ext cx="927358" cy="99978"/>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46469" y="990928"/>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+90</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(+0.8%)</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62554" y="1092256"/>
              <a:ext cx="117543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+2,789</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(+3</a:t>
              </a:r>
              <a:r>
                <a:rPr lang="en-US" altLang="ja-JP" sz="1400">
                  <a:latin typeface="Meiryo UI" pitchFamily="50" charset="-128"/>
                  <a:ea typeface="Meiryo UI" pitchFamily="50" charset="-128"/>
                  <a:cs typeface="Meiryo UI" pitchFamily="50" charset="-128"/>
                </a:rPr>
                <a:t>.4</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+1,838</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(+1.8%)</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43780" y="988316"/>
              <a:ext cx="1149244"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-1,041</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a:t>
              </a:r>
              <a:r>
                <a:rPr lang="en-US" altLang="ja-JP" sz="1400">
                  <a:latin typeface="Meiryo UI" pitchFamily="50" charset="-128"/>
                  <a:ea typeface="Meiryo UI" pitchFamily="50" charset="-128"/>
                  <a:cs typeface="Meiryo UI" pitchFamily="50" charset="-128"/>
                </a:rPr>
                <a:t>-12.8</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2031869"/>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07769"/>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564317"/>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flipV="1">
              <a:off x="5163404" y="1452091"/>
              <a:ext cx="930018" cy="457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71954" y="980538"/>
            <a:ext cx="1251487" cy="50753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102,084</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399" y="490220"/>
          <a:ext cx="8390371" cy="456549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74473"/>
            <a:ext cx="1089695" cy="1485046"/>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51,381</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897233"/>
            <a:ext cx="1084552" cy="67887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15,796</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16819"/>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33,067</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81252"/>
            <a:ext cx="1139329" cy="156603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52,385</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825319"/>
            <a:ext cx="1139329" cy="655904"/>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15,620</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2"/>
            <a:ext cx="1139329" cy="110575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34,079</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14723"/>
            <a:ext cx="934909" cy="30341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100,246</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102,084</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34342" y="2490815"/>
            <a:ext cx="4257425" cy="8365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23007" y="1825319"/>
            <a:ext cx="4256088" cy="76755"/>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94650" y="1616662"/>
            <a:ext cx="3619833" cy="113195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-176 (-1.1%)</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+145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-32 </a:t>
            </a:r>
            <a:r>
              <a:rPr lang="ja-JP" altLang="en-US" sz="1100">
                <a:latin typeface="Meiryo UI" pitchFamily="50" charset="-128"/>
                <a:ea typeface="Meiryo UI" pitchFamily="50" charset="-128"/>
                <a:cs typeface="Meiryo UI" pitchFamily="50" charset="-128"/>
              </a:rPr>
              <a:t>賃貸料</a:t>
            </a:r>
            <a:r>
              <a:rPr lang="en-US" altLang="ja-JP" sz="1100">
                <a:latin typeface="Meiryo UI" pitchFamily="50" charset="-128"/>
                <a:ea typeface="Meiryo UI" pitchFamily="50" charset="-128"/>
                <a:cs typeface="Meiryo UI" pitchFamily="50" charset="-128"/>
              </a:rPr>
              <a:t>/Rent </a:t>
            </a:r>
          </a:p>
          <a:p>
            <a:pPr algn="l">
              <a:lnSpc>
                <a:spcPct val="70000"/>
              </a:lnSpc>
              <a:spcBef>
                <a:spcPct val="0"/>
              </a:spcBef>
            </a:pPr>
            <a:r>
              <a:rPr lang="en-US" altLang="ja-JP" sz="1100">
                <a:latin typeface="Meiryo UI" pitchFamily="50" charset="-128"/>
                <a:ea typeface="Meiryo UI" pitchFamily="50" charset="-128"/>
                <a:cs typeface="Meiryo UI" pitchFamily="50" charset="-128"/>
              </a:rPr>
              <a:t>               -39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-179</a:t>
            </a:r>
            <a:r>
              <a:rPr lang="ja-JP" altLang="en-US" sz="1100" baseline="0">
                <a:latin typeface="Meiryo UI" pitchFamily="50" charset="-128"/>
                <a:ea typeface="Meiryo UI" pitchFamily="50" charset="-128"/>
                <a:cs typeface="Meiryo UI" pitchFamily="50" charset="-128"/>
              </a:rPr>
              <a:t> 人件</a:t>
            </a:r>
            <a:r>
              <a:rPr lang="ja-JP" altLang="en-US" sz="1100">
                <a:latin typeface="Meiryo UI" pitchFamily="50" charset="-128"/>
                <a:ea typeface="Meiryo UI" pitchFamily="50" charset="-128"/>
                <a:cs typeface="Meiryo UI" pitchFamily="50" charset="-128"/>
              </a:rPr>
              <a:t>費</a:t>
            </a:r>
            <a:r>
              <a:rPr lang="en-US" altLang="ja-JP" sz="1100">
                <a:latin typeface="Meiryo UI" pitchFamily="50" charset="-128"/>
                <a:ea typeface="Meiryo UI" pitchFamily="50" charset="-128"/>
                <a:cs typeface="Meiryo UI" pitchFamily="50" charset="-128"/>
              </a:rPr>
              <a:t>/Human</a:t>
            </a:r>
            <a:r>
              <a:rPr lang="en-US" altLang="ja-JP" sz="1100" baseline="0">
                <a:latin typeface="Meiryo UI" pitchFamily="50" charset="-128"/>
                <a:ea typeface="Meiryo UI" pitchFamily="50" charset="-128"/>
                <a:cs typeface="Meiryo UI" pitchFamily="50" charset="-128"/>
              </a:rPr>
              <a:t> resources</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8689" y="726375"/>
            <a:ext cx="4254824" cy="300339"/>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19562" y="1016823"/>
            <a:ext cx="3093000" cy="549219"/>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+1,011 </a:t>
            </a:r>
            <a:r>
              <a:rPr lang="en-US" altLang="ja-JP" sz="1400" b="0">
                <a:latin typeface="Meiryo UI" pitchFamily="50" charset="-128"/>
                <a:ea typeface="Meiryo UI" pitchFamily="50" charset="-128"/>
                <a:cs typeface="Meiryo UI" pitchFamily="50" charset="-128"/>
              </a:rPr>
              <a:t>(+3.1%)</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FY21Q2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FY22Q2</a:t>
            </a:r>
          </a:p>
          <a:p>
            <a:pPr>
              <a:lnSpc>
                <a:spcPct val="70000"/>
              </a:lnSpc>
              <a:spcBef>
                <a:spcPct val="0"/>
              </a:spcBef>
            </a:pPr>
            <a:r>
              <a:rPr lang="en-US" altLang="ja-JP" b="1">
                <a:latin typeface="メイリオ" pitchFamily="50" charset="-128"/>
                <a:ea typeface="メイリオ" pitchFamily="50" charset="-128"/>
                <a:cs typeface="メイリオ" pitchFamily="50" charset="-128"/>
              </a:rPr>
              <a:t>6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803220"/>
            <a:ext cx="3828508" cy="115242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+1,003</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(2.0%)</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+1,306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+692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-77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-792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35505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4" customWidth="1"/>
    <col min="2" max="16384" width="9" style="34"/>
  </cols>
  <sheetData>
    <row r="1" spans="1:17" ht="20.149999999999999" customHeight="1">
      <c r="A1" s="58"/>
      <c r="B1" s="58"/>
      <c r="C1" s="58"/>
      <c r="D1" s="58"/>
      <c r="E1" s="58"/>
      <c r="F1" s="58"/>
      <c r="G1" s="58"/>
      <c r="H1" s="58"/>
      <c r="I1" s="58"/>
      <c r="J1" s="58"/>
      <c r="K1" s="58"/>
      <c r="L1" s="58"/>
      <c r="M1" s="58"/>
      <c r="N1" s="58"/>
      <c r="O1" s="58"/>
      <c r="P1" s="58"/>
      <c r="Q1" s="58"/>
    </row>
    <row r="2" spans="1:17" ht="20.149999999999999" customHeight="1">
      <c r="A2" s="58"/>
      <c r="B2" s="58"/>
      <c r="C2" s="58"/>
      <c r="D2" s="58"/>
      <c r="E2" s="58"/>
      <c r="F2" s="58"/>
      <c r="G2" s="58"/>
      <c r="H2" s="58"/>
      <c r="I2" s="58"/>
      <c r="J2" s="58"/>
      <c r="K2" s="58"/>
      <c r="L2" s="58"/>
      <c r="M2" s="58"/>
      <c r="N2" s="58"/>
      <c r="O2" s="58"/>
      <c r="P2" s="58"/>
      <c r="Q2" s="58"/>
    </row>
    <row r="3" spans="1:17" ht="20.149999999999999" customHeight="1">
      <c r="A3" s="58"/>
      <c r="B3" s="58"/>
      <c r="C3" s="58"/>
      <c r="D3" s="58"/>
      <c r="E3" s="58"/>
      <c r="F3" s="58"/>
      <c r="G3" s="58"/>
      <c r="H3" s="58"/>
      <c r="I3" s="58"/>
      <c r="J3" s="58"/>
      <c r="K3" s="58"/>
      <c r="L3" s="58"/>
      <c r="M3" s="58"/>
      <c r="N3" s="58"/>
      <c r="O3" s="58"/>
      <c r="P3" s="58"/>
      <c r="Q3" s="58"/>
    </row>
    <row r="4" spans="1:17" ht="20.149999999999999" customHeight="1">
      <c r="A4" s="58"/>
      <c r="B4" s="58"/>
      <c r="C4" s="58"/>
      <c r="D4" s="58"/>
      <c r="E4" s="58"/>
      <c r="F4" s="58"/>
      <c r="G4" s="58"/>
      <c r="H4" s="58"/>
      <c r="I4" s="58"/>
      <c r="J4" s="58"/>
      <c r="K4" s="58"/>
      <c r="L4" s="58"/>
      <c r="M4" s="58"/>
      <c r="N4" s="58"/>
      <c r="O4" s="58"/>
      <c r="P4" s="58"/>
      <c r="Q4" s="58"/>
    </row>
    <row r="5" spans="1:17" ht="20.149999999999999" customHeight="1">
      <c r="A5" s="58"/>
      <c r="B5" s="58"/>
      <c r="C5" s="58"/>
      <c r="D5" s="58"/>
      <c r="E5" s="58"/>
      <c r="F5" s="58"/>
      <c r="G5" s="58"/>
      <c r="H5" s="58"/>
      <c r="I5" s="58"/>
      <c r="J5" s="58"/>
      <c r="K5" s="58"/>
      <c r="L5" s="58"/>
      <c r="M5" s="58"/>
      <c r="N5" s="58"/>
      <c r="O5" s="58"/>
      <c r="P5" s="58"/>
      <c r="Q5" s="58"/>
    </row>
    <row r="6" spans="1:17" ht="22">
      <c r="A6" s="58"/>
      <c r="B6" s="388" t="s">
        <v>262</v>
      </c>
      <c r="C6" s="388"/>
      <c r="D6" s="388"/>
      <c r="E6" s="388"/>
      <c r="F6" s="388"/>
      <c r="G6" s="388"/>
      <c r="H6" s="388"/>
      <c r="I6" s="388"/>
      <c r="J6" s="388"/>
      <c r="K6" s="388"/>
      <c r="L6" s="388"/>
      <c r="M6" s="388"/>
      <c r="N6" s="388"/>
      <c r="O6" s="388"/>
      <c r="P6" s="388"/>
      <c r="Q6" s="58"/>
    </row>
    <row r="7" spans="1:17" ht="19.5">
      <c r="A7" s="58"/>
      <c r="B7" s="389" t="s">
        <v>263</v>
      </c>
      <c r="C7" s="389"/>
      <c r="D7" s="389"/>
      <c r="E7" s="389"/>
      <c r="F7" s="389"/>
      <c r="G7" s="389"/>
      <c r="H7" s="389"/>
      <c r="I7" s="389"/>
      <c r="J7" s="389"/>
      <c r="K7" s="389"/>
      <c r="L7" s="389"/>
      <c r="M7" s="389"/>
      <c r="N7" s="389"/>
      <c r="O7" s="389"/>
      <c r="P7" s="389"/>
      <c r="Q7" s="58"/>
    </row>
    <row r="8" spans="1:17" ht="19.5">
      <c r="A8" s="58"/>
      <c r="B8" s="389" t="s">
        <v>177</v>
      </c>
      <c r="C8" s="389"/>
      <c r="D8" s="389"/>
      <c r="E8" s="389"/>
      <c r="F8" s="389"/>
      <c r="G8" s="389"/>
      <c r="H8" s="389"/>
      <c r="I8" s="389"/>
      <c r="J8" s="389"/>
      <c r="K8" s="389"/>
      <c r="L8" s="389"/>
      <c r="M8" s="389"/>
      <c r="N8" s="389"/>
      <c r="O8" s="389"/>
      <c r="P8" s="389"/>
      <c r="Q8" s="58"/>
    </row>
    <row r="9" spans="1:17" ht="21" customHeight="1">
      <c r="A9" s="58"/>
      <c r="B9" s="390">
        <v>44551</v>
      </c>
      <c r="C9" s="390"/>
      <c r="D9" s="390"/>
      <c r="E9" s="390"/>
      <c r="F9" s="390"/>
      <c r="G9" s="390"/>
      <c r="H9" s="390"/>
      <c r="I9" s="390"/>
      <c r="J9" s="390"/>
      <c r="K9" s="390"/>
      <c r="L9" s="390"/>
      <c r="M9" s="390"/>
      <c r="N9" s="390"/>
      <c r="O9" s="390"/>
      <c r="P9" s="390"/>
      <c r="Q9" s="58"/>
    </row>
    <row r="10" spans="1:17" ht="20.149999999999999" customHeight="1">
      <c r="A10" s="58"/>
      <c r="B10" s="58"/>
      <c r="C10" s="58"/>
      <c r="D10" s="58"/>
      <c r="E10" s="58"/>
      <c r="F10" s="58"/>
      <c r="G10" s="58"/>
      <c r="H10" s="58"/>
      <c r="I10" s="58"/>
      <c r="J10" s="58"/>
      <c r="K10" s="58"/>
      <c r="L10" s="58"/>
      <c r="M10" s="58"/>
      <c r="N10" s="58"/>
      <c r="O10" s="58"/>
      <c r="P10" s="58"/>
      <c r="Q10" s="58"/>
    </row>
    <row r="11" spans="1:17" s="35" customFormat="1" ht="22.9" customHeight="1">
      <c r="A11" s="59"/>
      <c r="B11" s="60" t="s">
        <v>94</v>
      </c>
      <c r="C11" s="59" t="s">
        <v>88</v>
      </c>
      <c r="D11" s="59"/>
      <c r="E11" s="59"/>
      <c r="F11" s="59"/>
      <c r="G11" s="59"/>
      <c r="H11" s="61"/>
      <c r="I11" s="59"/>
      <c r="J11" s="60"/>
      <c r="K11" s="59"/>
      <c r="L11" s="59"/>
      <c r="M11" s="59"/>
      <c r="N11" s="59"/>
      <c r="O11" s="59"/>
      <c r="P11" s="59"/>
      <c r="Q11" s="59"/>
    </row>
    <row r="12" spans="1:17" s="35" customFormat="1" ht="22.9" customHeight="1">
      <c r="A12" s="59"/>
      <c r="B12" s="60" t="s">
        <v>89</v>
      </c>
      <c r="C12" s="59" t="s">
        <v>90</v>
      </c>
      <c r="D12" s="59"/>
      <c r="E12" s="59"/>
      <c r="F12" s="59"/>
      <c r="G12" s="59"/>
      <c r="H12" s="61"/>
      <c r="I12" s="59"/>
      <c r="J12" s="60"/>
      <c r="K12" s="59"/>
      <c r="L12" s="59"/>
      <c r="M12" s="59"/>
      <c r="N12" s="59"/>
      <c r="O12" s="59"/>
      <c r="P12" s="59"/>
      <c r="Q12" s="59"/>
    </row>
    <row r="13" spans="1:17" s="35" customFormat="1" ht="22.9" customHeight="1">
      <c r="A13" s="59"/>
      <c r="B13" s="60" t="s">
        <v>84</v>
      </c>
      <c r="C13" s="59" t="s">
        <v>66</v>
      </c>
      <c r="D13" s="59"/>
      <c r="E13" s="59"/>
      <c r="F13" s="59"/>
      <c r="G13" s="59"/>
      <c r="H13" s="61"/>
      <c r="I13" s="59"/>
      <c r="J13" s="60"/>
      <c r="K13" s="59"/>
      <c r="L13" s="59"/>
      <c r="M13" s="59"/>
      <c r="N13" s="59"/>
      <c r="O13" s="59"/>
      <c r="P13" s="59"/>
      <c r="Q13" s="59"/>
    </row>
    <row r="14" spans="1:17" s="35" customFormat="1" ht="22.9" customHeight="1">
      <c r="A14" s="59"/>
      <c r="B14" s="60" t="s">
        <v>83</v>
      </c>
      <c r="C14" s="59" t="s">
        <v>121</v>
      </c>
      <c r="D14" s="59"/>
      <c r="E14" s="59"/>
      <c r="F14" s="59"/>
      <c r="G14" s="59"/>
      <c r="H14" s="61"/>
      <c r="I14" s="59"/>
      <c r="J14" s="60"/>
      <c r="K14" s="59"/>
      <c r="L14" s="59"/>
      <c r="M14" s="59"/>
      <c r="N14" s="59"/>
      <c r="O14" s="59"/>
      <c r="P14" s="59"/>
      <c r="Q14" s="59"/>
    </row>
    <row r="15" spans="1:17" s="35" customFormat="1" ht="22.9" customHeight="1">
      <c r="A15" s="59"/>
      <c r="B15" s="60" t="s">
        <v>165</v>
      </c>
      <c r="C15" s="59" t="s">
        <v>39</v>
      </c>
      <c r="D15" s="59"/>
      <c r="E15" s="59"/>
      <c r="F15" s="59"/>
      <c r="G15" s="59"/>
      <c r="H15" s="61"/>
      <c r="I15" s="59"/>
      <c r="J15" s="60"/>
      <c r="K15" s="59"/>
      <c r="L15" s="59"/>
      <c r="M15" s="59"/>
      <c r="N15" s="59"/>
      <c r="O15" s="59"/>
      <c r="P15" s="59"/>
      <c r="Q15" s="59"/>
    </row>
    <row r="16" spans="1:17" s="35" customFormat="1" ht="22.9" customHeight="1">
      <c r="A16" s="59"/>
      <c r="B16" s="60" t="s">
        <v>166</v>
      </c>
      <c r="C16" s="59" t="s">
        <v>40</v>
      </c>
      <c r="D16" s="59"/>
      <c r="E16" s="59"/>
      <c r="F16" s="59"/>
      <c r="G16" s="59"/>
      <c r="H16" s="61"/>
      <c r="I16" s="59"/>
      <c r="J16" s="60"/>
      <c r="K16" s="59"/>
      <c r="L16" s="59"/>
      <c r="M16" s="59"/>
      <c r="N16" s="59"/>
      <c r="O16" s="59"/>
      <c r="P16" s="59"/>
      <c r="Q16" s="59"/>
    </row>
    <row r="17" spans="1:17" ht="20.149999999999999" customHeight="1">
      <c r="A17" s="58"/>
      <c r="B17" s="60"/>
      <c r="C17" s="59"/>
      <c r="D17" s="58"/>
      <c r="E17" s="58"/>
      <c r="F17" s="62"/>
      <c r="G17" s="58"/>
      <c r="H17" s="58"/>
      <c r="I17" s="58"/>
      <c r="J17" s="58"/>
      <c r="K17" s="58"/>
      <c r="L17" s="58"/>
      <c r="M17" s="58"/>
      <c r="N17" s="58"/>
      <c r="O17" s="58"/>
      <c r="P17" s="58"/>
      <c r="Q17" s="58"/>
    </row>
    <row r="18" spans="1:17" ht="22">
      <c r="A18" s="58"/>
      <c r="B18" s="63"/>
      <c r="C18" s="63"/>
      <c r="D18" s="63"/>
      <c r="E18" s="63"/>
      <c r="F18" s="63"/>
      <c r="G18" s="63"/>
      <c r="H18" s="63"/>
      <c r="I18" s="63"/>
      <c r="J18" s="63"/>
      <c r="K18" s="63"/>
      <c r="L18" s="63"/>
      <c r="M18" s="63"/>
      <c r="N18" s="63"/>
      <c r="O18" s="63"/>
      <c r="P18" s="63"/>
      <c r="Q18" s="58"/>
    </row>
    <row r="19" spans="1:17" ht="26.25" customHeight="1">
      <c r="A19" s="58"/>
      <c r="B19" s="388" t="s">
        <v>67</v>
      </c>
      <c r="C19" s="388"/>
      <c r="D19" s="388"/>
      <c r="E19" s="388"/>
      <c r="F19" s="388"/>
      <c r="G19" s="388"/>
      <c r="H19" s="388"/>
      <c r="I19" s="388"/>
      <c r="J19" s="388"/>
      <c r="K19" s="388"/>
      <c r="L19" s="388"/>
      <c r="M19" s="388"/>
      <c r="N19" s="388"/>
      <c r="O19" s="388"/>
      <c r="P19" s="388"/>
      <c r="Q19" s="58"/>
    </row>
    <row r="20" spans="1:17" ht="26.25" customHeight="1">
      <c r="A20" s="58"/>
      <c r="B20" s="64"/>
      <c r="C20" s="64"/>
      <c r="D20" s="64"/>
      <c r="E20" s="64"/>
      <c r="F20" s="64"/>
      <c r="G20" s="64"/>
      <c r="H20" s="64"/>
      <c r="I20" s="65" t="s">
        <v>86</v>
      </c>
      <c r="J20" s="64"/>
      <c r="K20" s="64"/>
      <c r="L20" s="64"/>
      <c r="M20" s="64"/>
      <c r="N20" s="64"/>
      <c r="O20" s="64"/>
      <c r="P20" s="64"/>
      <c r="Q20" s="58"/>
    </row>
    <row r="21" spans="1:17" ht="20.149999999999999" customHeight="1">
      <c r="A21" s="58"/>
      <c r="B21" s="58"/>
      <c r="C21" s="58"/>
      <c r="D21" s="58"/>
      <c r="E21" s="58"/>
      <c r="F21" s="58"/>
      <c r="G21" s="58"/>
      <c r="H21" s="58"/>
      <c r="I21" s="58"/>
      <c r="J21" s="58"/>
      <c r="K21" s="58"/>
      <c r="L21" s="58"/>
      <c r="M21" s="58"/>
      <c r="N21" s="58"/>
      <c r="O21" s="58"/>
      <c r="P21" s="58"/>
      <c r="Q21" s="58"/>
    </row>
    <row r="22" spans="1:17" ht="20.149999999999999" customHeight="1">
      <c r="A22" s="58"/>
      <c r="B22" s="58"/>
      <c r="C22" s="58"/>
      <c r="D22" s="58"/>
      <c r="E22" s="58"/>
      <c r="F22" s="58"/>
      <c r="G22" s="58"/>
      <c r="H22" s="58"/>
      <c r="I22" s="58"/>
      <c r="J22" s="58"/>
      <c r="K22" s="58"/>
      <c r="L22" s="58"/>
      <c r="M22" s="58"/>
      <c r="N22" s="58"/>
      <c r="O22" s="58"/>
      <c r="P22" s="58"/>
      <c r="Q22" s="58"/>
    </row>
    <row r="23" spans="1:17" ht="20.149999999999999" customHeight="1">
      <c r="A23" s="58"/>
      <c r="B23" s="58"/>
      <c r="C23" s="58"/>
      <c r="D23" s="58"/>
      <c r="E23" s="58"/>
      <c r="F23" s="58"/>
      <c r="G23" s="58"/>
      <c r="H23" s="58"/>
      <c r="I23" s="58"/>
      <c r="J23" s="58"/>
      <c r="K23" s="58"/>
      <c r="L23" s="58"/>
      <c r="M23" s="58"/>
      <c r="N23" s="58"/>
      <c r="O23" s="58"/>
      <c r="P23" s="58"/>
      <c r="Q23" s="58"/>
    </row>
    <row r="24" spans="1:17" ht="20.149999999999999" customHeight="1">
      <c r="A24" s="58"/>
      <c r="B24" s="58"/>
      <c r="C24" s="58"/>
      <c r="D24" s="58"/>
      <c r="E24" s="58"/>
      <c r="F24" s="58"/>
      <c r="G24" s="58"/>
      <c r="H24" s="58"/>
      <c r="I24" s="58"/>
      <c r="J24" s="58"/>
      <c r="K24" s="58"/>
      <c r="L24" s="58"/>
      <c r="M24" s="58"/>
      <c r="N24" s="58"/>
      <c r="O24" s="58"/>
      <c r="P24" s="58"/>
      <c r="Q24" s="58"/>
    </row>
    <row r="25" spans="1:17" ht="20.149999999999999" customHeight="1">
      <c r="A25" s="58"/>
      <c r="B25" s="58"/>
      <c r="C25" s="58"/>
      <c r="D25" s="58"/>
      <c r="E25" s="58"/>
      <c r="F25" s="58"/>
      <c r="G25" s="58"/>
      <c r="H25" s="58"/>
      <c r="I25" s="58"/>
      <c r="J25" s="58"/>
      <c r="K25" s="58"/>
      <c r="L25" s="58"/>
      <c r="M25" s="58"/>
      <c r="N25" s="58"/>
      <c r="O25" s="58"/>
      <c r="P25" s="58"/>
      <c r="Q25" s="58"/>
    </row>
    <row r="26" spans="1:17" ht="20.149999999999999" customHeight="1">
      <c r="A26" s="58"/>
      <c r="B26" s="58"/>
      <c r="C26" s="58"/>
      <c r="D26" s="58"/>
      <c r="E26" s="58"/>
      <c r="F26" s="58"/>
      <c r="G26" s="58"/>
      <c r="H26" s="58"/>
      <c r="I26" s="58"/>
      <c r="J26" s="58"/>
      <c r="K26" s="58"/>
      <c r="L26" s="58"/>
      <c r="M26" s="58"/>
      <c r="N26" s="58"/>
      <c r="O26" s="58"/>
      <c r="P26" s="58"/>
      <c r="Q26" s="58"/>
    </row>
    <row r="27" spans="1:17" ht="20.149999999999999" customHeight="1">
      <c r="A27" s="58"/>
      <c r="B27" s="58"/>
      <c r="C27" s="58"/>
      <c r="D27" s="58"/>
      <c r="E27" s="58"/>
      <c r="F27" s="58"/>
      <c r="G27" s="58"/>
      <c r="H27" s="58"/>
      <c r="I27" s="58"/>
      <c r="J27" s="58"/>
      <c r="K27" s="58"/>
      <c r="L27" s="58"/>
      <c r="M27" s="58"/>
      <c r="N27" s="58"/>
      <c r="O27" s="58"/>
      <c r="P27" s="58"/>
      <c r="Q27" s="58"/>
    </row>
    <row r="28" spans="1:17" ht="20.149999999999999" customHeight="1">
      <c r="A28" s="58"/>
      <c r="B28" s="58"/>
      <c r="C28" s="58"/>
      <c r="D28" s="58"/>
      <c r="E28" s="58"/>
      <c r="F28" s="58"/>
      <c r="G28" s="58"/>
      <c r="H28" s="58"/>
      <c r="I28" s="58"/>
      <c r="J28" s="58"/>
      <c r="K28" s="58"/>
      <c r="L28" s="58"/>
      <c r="M28" s="58"/>
      <c r="N28" s="58"/>
      <c r="O28" s="58"/>
      <c r="P28" s="58"/>
      <c r="Q28" s="58"/>
    </row>
    <row r="29" spans="1:17" ht="20.149999999999999" customHeight="1">
      <c r="A29" s="58"/>
      <c r="B29" s="58"/>
      <c r="C29" s="58"/>
      <c r="D29" s="58"/>
      <c r="E29" s="58"/>
      <c r="F29" s="58"/>
      <c r="G29" s="58"/>
      <c r="H29" s="58"/>
      <c r="I29" s="58"/>
      <c r="J29" s="58"/>
      <c r="K29" s="58"/>
      <c r="L29" s="58"/>
      <c r="M29" s="58"/>
      <c r="N29" s="58"/>
      <c r="O29" s="58"/>
      <c r="P29" s="58"/>
      <c r="Q29" s="58"/>
    </row>
    <row r="30" spans="1:17" ht="20.149999999999999" customHeight="1">
      <c r="A30" s="58"/>
      <c r="B30" s="58"/>
      <c r="C30" s="58"/>
      <c r="D30" s="58"/>
      <c r="E30" s="58"/>
      <c r="F30" s="58"/>
      <c r="G30" s="58"/>
      <c r="H30" s="58"/>
      <c r="I30" s="58"/>
      <c r="J30" s="58"/>
      <c r="K30" s="58"/>
      <c r="L30" s="58"/>
      <c r="M30" s="58"/>
      <c r="N30" s="58"/>
      <c r="O30" s="58"/>
      <c r="P30" s="58"/>
      <c r="Q30" s="58"/>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131" zoomScaleNormal="85" zoomScaleSheetLayoutView="131"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2" customWidth="1"/>
    <col min="10" max="10" width="17" style="5" customWidth="1"/>
    <col min="11" max="19" width="17.08984375" style="5" customWidth="1"/>
    <col min="20" max="16384" width="9" style="5"/>
  </cols>
  <sheetData>
    <row r="1" spans="3:19" ht="21.75" customHeight="1">
      <c r="C1" s="2" t="s">
        <v>91</v>
      </c>
      <c r="D1" s="18"/>
      <c r="E1" s="18"/>
      <c r="F1" s="19"/>
      <c r="G1" s="19"/>
      <c r="H1" s="19"/>
      <c r="I1" s="19"/>
      <c r="J1" s="20"/>
      <c r="K1" s="21"/>
      <c r="L1" s="21"/>
      <c r="M1" s="21"/>
      <c r="N1" s="21"/>
      <c r="O1" s="21"/>
      <c r="P1" s="21"/>
      <c r="Q1" s="21"/>
      <c r="R1" s="21"/>
      <c r="S1" s="21"/>
    </row>
    <row r="2" spans="3:19" s="3" customFormat="1" ht="21.75" customHeight="1">
      <c r="C2" s="51"/>
      <c r="D2" s="52"/>
      <c r="E2" s="52"/>
      <c r="F2" s="53"/>
      <c r="G2" s="53"/>
      <c r="H2" s="53"/>
      <c r="I2" s="28"/>
      <c r="J2" s="29"/>
    </row>
    <row r="3" spans="3:19" ht="20.149999999999999" customHeight="1">
      <c r="C3" s="54"/>
      <c r="D3" s="55"/>
      <c r="E3" s="55"/>
      <c r="F3" s="53"/>
      <c r="G3" s="53"/>
      <c r="H3" s="53"/>
      <c r="I3" s="14"/>
    </row>
    <row r="4" spans="3:19" ht="11.25" customHeight="1">
      <c r="C4" s="56"/>
      <c r="D4" s="55"/>
      <c r="E4" s="55"/>
      <c r="F4" s="53"/>
      <c r="G4" s="53"/>
      <c r="H4" s="53"/>
    </row>
    <row r="5" spans="3:19" ht="20.149999999999999" customHeight="1">
      <c r="C5" s="55"/>
      <c r="D5" s="55"/>
      <c r="E5" s="55"/>
      <c r="F5" s="53"/>
      <c r="G5" s="53"/>
      <c r="H5" s="53"/>
    </row>
    <row r="6" spans="3:19" ht="20.149999999999999" customHeight="1">
      <c r="C6" s="55"/>
      <c r="D6" s="55"/>
      <c r="E6" s="55"/>
      <c r="F6" s="53"/>
      <c r="G6" s="53"/>
      <c r="H6" s="53"/>
    </row>
    <row r="7" spans="3:19" ht="20.149999999999999" customHeight="1">
      <c r="C7" s="55"/>
      <c r="D7" s="55"/>
      <c r="E7" s="55"/>
      <c r="F7" s="53"/>
      <c r="G7" s="310"/>
      <c r="H7" s="53"/>
    </row>
    <row r="8" spans="3:19" ht="20.149999999999999" customHeight="1">
      <c r="C8" s="55"/>
      <c r="D8" s="55"/>
      <c r="E8" s="55"/>
      <c r="F8" s="53"/>
      <c r="G8" s="53"/>
      <c r="H8" s="53"/>
    </row>
    <row r="9" spans="3:19" ht="20.149999999999999" customHeight="1">
      <c r="C9" s="55"/>
      <c r="D9" s="55"/>
      <c r="E9" s="55"/>
      <c r="F9" s="53"/>
      <c r="G9" s="53"/>
      <c r="H9" s="53"/>
    </row>
    <row r="10" spans="3:19" ht="20.149999999999999" customHeight="1">
      <c r="C10" s="55"/>
      <c r="D10" s="55"/>
      <c r="E10" s="55"/>
      <c r="F10" s="53"/>
      <c r="G10" s="53"/>
      <c r="H10" s="53"/>
    </row>
    <row r="11" spans="3:19" ht="20.149999999999999" customHeight="1">
      <c r="C11" s="55"/>
      <c r="D11" s="55"/>
      <c r="E11" s="55"/>
      <c r="F11" s="53"/>
      <c r="G11" s="53"/>
      <c r="H11" s="53"/>
    </row>
    <row r="12" spans="3:19" ht="20.149999999999999" customHeight="1">
      <c r="C12" s="55"/>
      <c r="D12" s="55"/>
      <c r="E12" s="55"/>
      <c r="F12" s="53"/>
      <c r="G12" s="53"/>
      <c r="H12" s="53"/>
    </row>
    <row r="13" spans="3:19" ht="20.149999999999999" customHeight="1">
      <c r="C13" s="55"/>
      <c r="D13" s="55"/>
      <c r="E13" s="55"/>
      <c r="F13" s="53"/>
      <c r="G13" s="53"/>
      <c r="H13" s="53"/>
    </row>
    <row r="14" spans="3:19" ht="20.149999999999999" customHeight="1">
      <c r="C14" s="55"/>
      <c r="D14" s="55"/>
      <c r="E14" s="55"/>
      <c r="F14" s="53"/>
      <c r="G14" s="53"/>
      <c r="H14" s="53"/>
    </row>
    <row r="15" spans="3:19" ht="20.149999999999999" customHeight="1">
      <c r="C15" s="55"/>
      <c r="D15" s="55"/>
      <c r="E15" s="55"/>
      <c r="F15" s="53"/>
      <c r="G15" s="53"/>
      <c r="H15" s="53"/>
    </row>
    <row r="16" spans="3:19" ht="20.149999999999999" customHeight="1">
      <c r="C16" s="55"/>
      <c r="D16" s="55"/>
      <c r="E16" s="55"/>
      <c r="F16" s="53"/>
      <c r="G16" s="53"/>
      <c r="H16" s="53"/>
    </row>
    <row r="17" spans="3:8" ht="20.149999999999999" customHeight="1">
      <c r="C17" s="55"/>
      <c r="D17" s="55"/>
      <c r="E17" s="55"/>
      <c r="F17" s="53"/>
      <c r="G17" s="53"/>
      <c r="H17" s="53"/>
    </row>
    <row r="18" spans="3:8" ht="20.149999999999999" customHeight="1">
      <c r="C18" s="55"/>
      <c r="D18" s="55"/>
      <c r="E18" s="55"/>
      <c r="F18" s="53"/>
      <c r="G18" s="53"/>
      <c r="H18" s="53"/>
    </row>
    <row r="19" spans="3:8" ht="20.149999999999999" customHeight="1">
      <c r="C19" s="55"/>
      <c r="D19" s="55"/>
      <c r="E19" s="55"/>
      <c r="F19" s="53"/>
      <c r="G19" s="53"/>
      <c r="H19" s="53"/>
    </row>
    <row r="20" spans="3:8" ht="20.149999999999999" customHeight="1">
      <c r="C20" s="55"/>
      <c r="D20" s="55"/>
      <c r="E20" s="55"/>
      <c r="F20" s="53"/>
      <c r="G20" s="53"/>
      <c r="H20" s="53"/>
    </row>
    <row r="21" spans="3:8" ht="20.149999999999999" customHeight="1">
      <c r="C21" s="55"/>
      <c r="D21" s="55"/>
      <c r="E21" s="55"/>
      <c r="F21" s="53"/>
      <c r="G21" s="53"/>
      <c r="H21" s="53"/>
    </row>
    <row r="22" spans="3:8" ht="20.149999999999999" customHeight="1">
      <c r="C22" s="55"/>
      <c r="D22" s="55"/>
      <c r="E22" s="55"/>
      <c r="F22" s="53"/>
      <c r="G22" s="53"/>
      <c r="H22" s="53"/>
    </row>
    <row r="23" spans="3:8" ht="20.149999999999999" customHeight="1">
      <c r="C23" s="55"/>
      <c r="D23" s="55"/>
      <c r="E23" s="55"/>
      <c r="F23" s="53"/>
      <c r="G23" s="53"/>
      <c r="H23" s="53"/>
    </row>
    <row r="24" spans="3:8" ht="20.149999999999999" customHeight="1">
      <c r="C24" s="55"/>
      <c r="D24" s="55"/>
      <c r="E24" s="55"/>
      <c r="F24" s="53"/>
      <c r="G24" s="53"/>
      <c r="H24" s="53"/>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5" customWidth="1"/>
    <col min="2" max="2" width="2.90625" style="22" customWidth="1"/>
    <col min="3" max="3" width="16.08984375" style="22" customWidth="1"/>
    <col min="4" max="4" width="17" style="5" customWidth="1"/>
    <col min="5" max="13" width="17.08984375" style="5" customWidth="1"/>
    <col min="14" max="16384" width="9" style="5"/>
  </cols>
  <sheetData>
    <row r="1" spans="2:13" ht="21.75" customHeight="1">
      <c r="B1" s="19"/>
      <c r="C1" s="2" t="s">
        <v>92</v>
      </c>
      <c r="D1" s="20"/>
      <c r="E1" s="21"/>
      <c r="F1" s="21"/>
      <c r="G1" s="21"/>
      <c r="H1" s="21"/>
      <c r="I1" s="21"/>
      <c r="J1" s="21"/>
      <c r="K1" s="21"/>
      <c r="L1" s="21"/>
      <c r="M1" s="21"/>
    </row>
    <row r="2" spans="2:13" s="3" customFormat="1" ht="21.75" customHeight="1">
      <c r="B2" s="53"/>
      <c r="C2" s="53"/>
      <c r="D2" s="57"/>
      <c r="E2" s="55"/>
      <c r="F2" s="55"/>
      <c r="G2" s="55"/>
      <c r="H2" s="55"/>
      <c r="I2" s="55"/>
    </row>
    <row r="3" spans="2:13" ht="20.149999999999999" customHeight="1">
      <c r="B3" s="53"/>
      <c r="C3" s="54"/>
      <c r="D3" s="55"/>
      <c r="E3" s="55"/>
      <c r="F3" s="55"/>
      <c r="G3" s="55"/>
      <c r="H3" s="55"/>
      <c r="I3" s="55"/>
    </row>
    <row r="4" spans="2:13" ht="11.25" customHeight="1">
      <c r="B4" s="53"/>
      <c r="C4" s="53"/>
      <c r="D4" s="55"/>
      <c r="E4" s="55"/>
      <c r="F4" s="55"/>
      <c r="G4" s="55"/>
      <c r="H4" s="55"/>
      <c r="I4" s="55"/>
    </row>
    <row r="5" spans="2:13" ht="20.149999999999999" customHeight="1">
      <c r="B5" s="53"/>
      <c r="C5" s="53"/>
      <c r="D5" s="55"/>
      <c r="E5" s="55"/>
      <c r="F5" s="55"/>
      <c r="G5" s="55"/>
      <c r="H5" s="55"/>
      <c r="I5" s="55"/>
    </row>
    <row r="6" spans="2:13" ht="20.149999999999999" customHeight="1">
      <c r="B6" s="53"/>
      <c r="C6" s="53"/>
      <c r="D6" s="55"/>
      <c r="E6" s="55"/>
      <c r="F6" s="55"/>
      <c r="G6" s="55"/>
      <c r="H6" s="55"/>
      <c r="I6" s="55"/>
    </row>
    <row r="7" spans="2:13" ht="20.149999999999999" customHeight="1">
      <c r="B7" s="53"/>
      <c r="C7" s="53"/>
      <c r="D7" s="55"/>
      <c r="E7" s="55"/>
      <c r="F7" s="55"/>
      <c r="G7" s="55"/>
      <c r="H7" s="55"/>
      <c r="I7" s="55"/>
    </row>
    <row r="8" spans="2:13" ht="20.149999999999999" customHeight="1">
      <c r="B8" s="53"/>
      <c r="C8" s="53"/>
      <c r="D8" s="55"/>
      <c r="E8" s="55"/>
      <c r="F8" s="55"/>
      <c r="G8" s="55"/>
      <c r="H8" s="55"/>
      <c r="I8" s="55"/>
    </row>
    <row r="9" spans="2:13" ht="20.149999999999999" customHeight="1">
      <c r="B9" s="53"/>
      <c r="C9" s="53"/>
      <c r="D9" s="55"/>
      <c r="E9" s="55"/>
      <c r="F9" s="55"/>
      <c r="G9" s="55"/>
      <c r="H9" s="55"/>
      <c r="I9" s="55"/>
    </row>
    <row r="10" spans="2:13" ht="20.149999999999999" customHeight="1">
      <c r="B10" s="53"/>
      <c r="C10" s="53"/>
      <c r="D10" s="55"/>
      <c r="E10" s="55"/>
      <c r="F10" s="55"/>
      <c r="G10" s="55"/>
      <c r="H10" s="55"/>
      <c r="I10" s="55"/>
    </row>
    <row r="11" spans="2:13" ht="20.149999999999999" customHeight="1">
      <c r="B11" s="53"/>
      <c r="C11" s="53"/>
      <c r="D11" s="55"/>
      <c r="E11" s="55"/>
      <c r="F11" s="55"/>
      <c r="G11" s="55"/>
      <c r="H11" s="55"/>
      <c r="I11" s="55"/>
    </row>
    <row r="12" spans="2:13" ht="20.149999999999999" customHeight="1">
      <c r="B12" s="53"/>
      <c r="C12" s="53"/>
      <c r="D12" s="55"/>
      <c r="E12" s="55"/>
      <c r="F12" s="55"/>
      <c r="G12" s="55"/>
      <c r="H12" s="55"/>
      <c r="I12" s="55"/>
    </row>
    <row r="13" spans="2:13" ht="20.149999999999999" customHeight="1">
      <c r="B13" s="53"/>
      <c r="C13" s="53"/>
      <c r="D13" s="55"/>
      <c r="E13" s="55"/>
      <c r="F13" s="55"/>
      <c r="G13" s="55"/>
      <c r="H13" s="55"/>
      <c r="I13" s="55"/>
    </row>
    <row r="14" spans="2:13" ht="20.149999999999999" customHeight="1">
      <c r="B14" s="53"/>
      <c r="C14" s="53"/>
      <c r="D14" s="55"/>
      <c r="E14" s="55"/>
      <c r="F14" s="55"/>
      <c r="G14" s="55"/>
      <c r="H14" s="55"/>
      <c r="I14" s="55"/>
    </row>
    <row r="15" spans="2:13" ht="20.149999999999999" customHeight="1">
      <c r="B15" s="53"/>
      <c r="C15" s="53"/>
      <c r="D15" s="55"/>
      <c r="E15" s="55"/>
      <c r="F15" s="55"/>
      <c r="G15" s="55"/>
      <c r="H15" s="55"/>
      <c r="I15" s="55"/>
    </row>
    <row r="16" spans="2:13" ht="20.149999999999999" customHeight="1">
      <c r="B16" s="53"/>
      <c r="C16" s="53"/>
      <c r="D16" s="55"/>
      <c r="E16" s="55"/>
      <c r="F16" s="55"/>
      <c r="G16" s="55"/>
      <c r="H16" s="55"/>
      <c r="I16" s="55"/>
    </row>
    <row r="17" spans="2:9" ht="20.149999999999999" customHeight="1">
      <c r="B17" s="53"/>
      <c r="C17" s="53"/>
      <c r="D17" s="55"/>
      <c r="E17" s="55"/>
      <c r="F17" s="55"/>
      <c r="G17" s="55"/>
      <c r="H17" s="55"/>
      <c r="I17" s="55"/>
    </row>
    <row r="18" spans="2:9" ht="20.149999999999999" customHeight="1">
      <c r="B18" s="53"/>
      <c r="C18" s="53"/>
      <c r="D18" s="55"/>
      <c r="E18" s="55"/>
      <c r="F18" s="55"/>
      <c r="G18" s="55"/>
      <c r="H18" s="55"/>
      <c r="I18" s="55"/>
    </row>
    <row r="19" spans="2:9" ht="20.149999999999999" customHeight="1">
      <c r="B19" s="53"/>
      <c r="C19" s="53"/>
      <c r="D19" s="55"/>
      <c r="E19" s="55"/>
      <c r="F19" s="55"/>
      <c r="G19" s="55"/>
      <c r="H19" s="55"/>
      <c r="I19" s="55"/>
    </row>
    <row r="20" spans="2:9" ht="20.149999999999999" customHeight="1">
      <c r="B20" s="53"/>
      <c r="C20" s="53"/>
      <c r="D20" s="55"/>
      <c r="E20" s="55"/>
      <c r="F20" s="55"/>
      <c r="G20" s="55"/>
      <c r="H20" s="55"/>
      <c r="I20" s="55"/>
    </row>
    <row r="21" spans="2:9" ht="20.149999999999999" customHeight="1">
      <c r="B21" s="53"/>
      <c r="C21" s="53"/>
      <c r="D21" s="55"/>
      <c r="E21" s="55"/>
      <c r="F21" s="55"/>
      <c r="G21" s="55"/>
      <c r="H21" s="55"/>
      <c r="I21" s="55"/>
    </row>
    <row r="22" spans="2:9" ht="20.149999999999999" customHeight="1">
      <c r="B22" s="53"/>
      <c r="C22" s="53"/>
      <c r="D22" s="55"/>
      <c r="E22" s="55"/>
      <c r="F22" s="55"/>
      <c r="G22" s="55"/>
      <c r="H22" s="55"/>
      <c r="I22" s="55"/>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65" zoomScaleNormal="70" zoomScaleSheetLayoutView="65" workbookViewId="0">
      <pane xSplit="3" topLeftCell="D1" activePane="topRight" state="frozen"/>
      <selection activeCell="A11" sqref="A11"/>
      <selection pane="topRight"/>
    </sheetView>
  </sheetViews>
  <sheetFormatPr defaultColWidth="9" defaultRowHeight="20.149999999999999" customHeight="1"/>
  <cols>
    <col min="1" max="1" width="3.08984375" style="37" customWidth="1"/>
    <col min="2" max="2" width="3.90625" style="37" customWidth="1"/>
    <col min="3" max="3" width="50.90625" style="37" customWidth="1"/>
    <col min="4" max="5" width="13.6328125" style="42" customWidth="1"/>
    <col min="6" max="6" width="13.6328125" style="43" customWidth="1"/>
    <col min="7" max="7" width="13.6328125" style="126" customWidth="1"/>
    <col min="8" max="10" width="13.6328125" style="42" customWidth="1"/>
    <col min="11" max="11" width="13.6328125" style="44" customWidth="1"/>
    <col min="12" max="12" width="13.6328125" style="36" customWidth="1"/>
    <col min="13" max="13" width="13.6328125" style="41" customWidth="1"/>
    <col min="14" max="15" width="13.6328125" style="42" customWidth="1"/>
    <col min="16" max="16" width="13.6328125" style="44" customWidth="1"/>
    <col min="17" max="17" width="13.6328125" style="36" customWidth="1"/>
    <col min="18" max="16384" width="9" style="41"/>
  </cols>
  <sheetData>
    <row r="1" spans="1:17" ht="22.9" customHeight="1">
      <c r="B1" s="271" t="s">
        <v>85</v>
      </c>
      <c r="C1" s="272"/>
      <c r="D1" s="38"/>
      <c r="E1" s="38"/>
      <c r="F1" s="39"/>
      <c r="G1" s="39"/>
      <c r="H1" s="38"/>
      <c r="I1" s="38"/>
      <c r="J1" s="38"/>
      <c r="K1" s="40"/>
      <c r="L1" s="39"/>
      <c r="M1" s="122"/>
      <c r="N1" s="38"/>
      <c r="O1" s="38"/>
      <c r="P1" s="40"/>
      <c r="Q1" s="38"/>
    </row>
    <row r="2" spans="1:17" ht="20.25" customHeight="1" thickBot="1">
      <c r="B2" s="292" t="str">
        <f>_EPRCS_VU_3ffbb6f6_54d7_486d_8232_00e5c17540a4</f>
        <v>Q2</v>
      </c>
      <c r="C2" s="250"/>
      <c r="F2" s="41"/>
      <c r="H2" s="123"/>
      <c r="M2" s="123" t="s">
        <v>41</v>
      </c>
    </row>
    <row r="3" spans="1:17" s="46" customFormat="1" ht="25.5" customHeight="1">
      <c r="A3" s="45"/>
      <c r="B3" s="273"/>
      <c r="C3" s="274"/>
      <c r="D3" s="368"/>
      <c r="E3" s="293"/>
      <c r="F3" s="294">
        <v>44682</v>
      </c>
      <c r="G3" s="295"/>
      <c r="H3" s="296">
        <v>44682</v>
      </c>
      <c r="I3" s="381"/>
      <c r="J3" s="293"/>
      <c r="K3" s="324">
        <v>44317</v>
      </c>
      <c r="L3" s="295"/>
      <c r="M3" s="297">
        <v>44317</v>
      </c>
      <c r="N3" s="298">
        <v>43952</v>
      </c>
      <c r="O3" s="299">
        <v>43586</v>
      </c>
      <c r="P3" s="299">
        <v>43221</v>
      </c>
      <c r="Q3" s="300">
        <v>42856</v>
      </c>
    </row>
    <row r="4" spans="1:17" s="48" customFormat="1" ht="25.5" customHeight="1" thickBot="1">
      <c r="A4" s="47"/>
      <c r="B4" s="275"/>
      <c r="C4" s="276"/>
      <c r="D4" s="138" t="s">
        <v>61</v>
      </c>
      <c r="E4" s="332" t="s">
        <v>125</v>
      </c>
      <c r="F4" s="130" t="s">
        <v>124</v>
      </c>
      <c r="G4" s="127" t="s">
        <v>64</v>
      </c>
      <c r="H4" s="180" t="s">
        <v>65</v>
      </c>
      <c r="I4" s="130" t="s">
        <v>61</v>
      </c>
      <c r="J4" s="332" t="s">
        <v>62</v>
      </c>
      <c r="K4" s="130" t="s">
        <v>63</v>
      </c>
      <c r="L4" s="127" t="s">
        <v>64</v>
      </c>
      <c r="M4" s="184" t="s">
        <v>170</v>
      </c>
      <c r="N4" s="138" t="s">
        <v>144</v>
      </c>
      <c r="O4" s="127" t="s">
        <v>65</v>
      </c>
      <c r="P4" s="127" t="s">
        <v>65</v>
      </c>
      <c r="Q4" s="139" t="s">
        <v>65</v>
      </c>
    </row>
    <row r="5" spans="1:17" s="48" customFormat="1" ht="33.65" customHeight="1">
      <c r="A5" s="47"/>
      <c r="B5" s="277" t="s">
        <v>149</v>
      </c>
      <c r="C5" s="278"/>
      <c r="D5" s="137">
        <f>_EPRCS_VU_b6a87624_97c1_45d5_aed7_9e7a3e962d65</f>
        <v>50388</v>
      </c>
      <c r="E5" s="333">
        <v>51696</v>
      </c>
      <c r="F5" s="143" t="str">
        <f>IF(B2="Q1","",IF(B2="Q2","",_EPRCS_VU_e0832ab7_1e34_4b11_9d71_fd4ae5085afd))</f>
        <v/>
      </c>
      <c r="G5" s="131" t="str">
        <f>IF(B2="Q1","",IF(B2="Q2","",IF(B2="Q3","",_EPRCS_VU_1a78226f_8069_40c6_876e_5040284d406c)))</f>
        <v/>
      </c>
      <c r="H5" s="240">
        <f>_EPRCS_VU_d776b4c5_c487_4e4d_84e7_f7cc17b48d21</f>
        <v>102084</v>
      </c>
      <c r="I5" s="143">
        <v>47629</v>
      </c>
      <c r="J5" s="347">
        <v>52617</v>
      </c>
      <c r="K5" s="143">
        <v>49452</v>
      </c>
      <c r="L5" s="131">
        <v>58825</v>
      </c>
      <c r="M5" s="185">
        <v>208523</v>
      </c>
      <c r="N5" s="137">
        <v>211357</v>
      </c>
      <c r="O5" s="131">
        <v>202389</v>
      </c>
      <c r="P5" s="131">
        <v>185481</v>
      </c>
      <c r="Q5" s="197">
        <v>173190</v>
      </c>
    </row>
    <row r="6" spans="1:17" ht="33.65" customHeight="1">
      <c r="B6" s="277" t="s">
        <v>152</v>
      </c>
      <c r="C6" s="278"/>
      <c r="D6" s="135">
        <f>_EPRCS_VU_21c767a6_636b_4281_86e7_4aafa5536f90</f>
        <v>25776</v>
      </c>
      <c r="E6" s="334">
        <v>26608</v>
      </c>
      <c r="F6" s="142" t="str">
        <f>IF(B2="Q1","",IF(B2="Q2","",_EPRCS_VU_2ed6eb03_2b39_43aa_bb25_1366e4d25c3b))</f>
        <v/>
      </c>
      <c r="G6" s="133" t="str">
        <f>IF(B2="Q1","",IF(B2="Q2","",IF(B2="Q3","",_EPRCS_VU_b677062d_56d6_4ea4_8e83_5cab645c449f)))</f>
        <v/>
      </c>
      <c r="H6" s="152">
        <f>_EPRCS_VU_0da27029_3299_48bb_93ae_9c184c47edfb</f>
        <v>52385</v>
      </c>
      <c r="I6" s="142">
        <v>24792</v>
      </c>
      <c r="J6" s="334">
        <v>26588</v>
      </c>
      <c r="K6" s="142">
        <v>25525</v>
      </c>
      <c r="L6" s="133">
        <v>29858</v>
      </c>
      <c r="M6" s="186">
        <v>106764</v>
      </c>
      <c r="N6" s="135">
        <v>109110</v>
      </c>
      <c r="O6" s="133">
        <v>106735</v>
      </c>
      <c r="P6" s="133">
        <v>96673</v>
      </c>
      <c r="Q6" s="198">
        <v>88504</v>
      </c>
    </row>
    <row r="7" spans="1:17" ht="33.65" customHeight="1">
      <c r="B7" s="279" t="s">
        <v>150</v>
      </c>
      <c r="C7" s="280"/>
      <c r="D7" s="135">
        <f>_EPRCS_VU_591c3de5_f5ec_4415_b6bc_c76944ba8526</f>
        <v>24611</v>
      </c>
      <c r="E7" s="334">
        <v>25088</v>
      </c>
      <c r="F7" s="142" t="str">
        <f>IF(B2="Q1","",IF(B2="Q2","",_EPRCS_VU_7b7442d1_c7b6_4aa7_b162_6d851981455c))</f>
        <v/>
      </c>
      <c r="G7" s="133" t="str">
        <f>IF(B2="Q1","",IF(B2="Q2","",IF(B2="Q3","",_EPRCS_VU_6db282e5_e5c6_44e2_9634_2d1a30f0db46)))</f>
        <v/>
      </c>
      <c r="H7" s="151">
        <f>_EPRCS_VU_2e20f530_c8e9_4516_90a4_82a47312cf40</f>
        <v>49699</v>
      </c>
      <c r="I7" s="142">
        <v>22836</v>
      </c>
      <c r="J7" s="334">
        <v>26028</v>
      </c>
      <c r="K7" s="142">
        <v>23927</v>
      </c>
      <c r="L7" s="133">
        <v>28966</v>
      </c>
      <c r="M7" s="186">
        <v>101758</v>
      </c>
      <c r="N7" s="135">
        <v>102246</v>
      </c>
      <c r="O7" s="133">
        <v>95653</v>
      </c>
      <c r="P7" s="133">
        <v>88808</v>
      </c>
      <c r="Q7" s="198">
        <v>84685</v>
      </c>
    </row>
    <row r="8" spans="1:17" ht="33.65" customHeight="1">
      <c r="B8" s="277" t="s">
        <v>151</v>
      </c>
      <c r="C8" s="278"/>
      <c r="D8" s="135">
        <f>_EPRCS_VU_982ebf6d_d557_49bd_a750_45d6058d2450</f>
        <v>7665</v>
      </c>
      <c r="E8" s="334">
        <v>7954</v>
      </c>
      <c r="F8" s="142" t="str">
        <f>IF(B2="Q1","",IF(B2="Q2","",_EPRCS_VU_848ac8c4_b97b_4e17_9854_e9f712626024))</f>
        <v/>
      </c>
      <c r="G8" s="133" t="str">
        <f>IF(B2="Q1","",IF(B2="Q2","",IF(B2="Q3","",_EPRCS_VU_5aef0dd0_4bb4_4a62_9fdd_44d8ac96bee3)))</f>
        <v/>
      </c>
      <c r="H8" s="151">
        <f>_EPRCS_VU_063f55a7_c1af_4de0_83b8_3e8e6e50f491</f>
        <v>15620</v>
      </c>
      <c r="I8" s="142">
        <v>8299</v>
      </c>
      <c r="J8" s="334">
        <v>7497</v>
      </c>
      <c r="K8" s="142">
        <v>7274</v>
      </c>
      <c r="L8" s="133">
        <v>7783</v>
      </c>
      <c r="M8" s="186">
        <v>30854</v>
      </c>
      <c r="N8" s="135">
        <v>33380</v>
      </c>
      <c r="O8" s="133">
        <v>33316</v>
      </c>
      <c r="P8" s="133">
        <v>32798</v>
      </c>
      <c r="Q8" s="198">
        <v>32160</v>
      </c>
    </row>
    <row r="9" spans="1:17" ht="33.65" customHeight="1">
      <c r="B9" s="279" t="s">
        <v>117</v>
      </c>
      <c r="C9" s="280"/>
      <c r="D9" s="369">
        <f>_EPRCS_VU_9889aa61_84b7_4bfd_aea5_68a85f8d3b10</f>
        <v>16945</v>
      </c>
      <c r="E9" s="335">
        <v>17133</v>
      </c>
      <c r="F9" s="174" t="str">
        <f>IF(B2="Q1","",IF(B2="Q2","",_EPRCS_VU_d9d21d3a_fd73_48be_b2ae_49efa93ee1fa))</f>
        <v/>
      </c>
      <c r="G9" s="173" t="str">
        <f>IF(B2="Q1","",IF(B2="Q2","",IF(B2="Q3","",_EPRCS_VU_9fac72f3_73cb_4414_99b1_28d2a06c65ec)))</f>
        <v/>
      </c>
      <c r="H9" s="181">
        <f>_EPRCS_VU_1fc8b5ad_905d_4399_ab3e_b4376590fff2</f>
        <v>34079</v>
      </c>
      <c r="I9" s="174">
        <v>14536</v>
      </c>
      <c r="J9" s="335">
        <v>18531</v>
      </c>
      <c r="K9" s="174">
        <v>16652</v>
      </c>
      <c r="L9" s="173">
        <v>21183</v>
      </c>
      <c r="M9" s="181">
        <v>70904</v>
      </c>
      <c r="N9" s="135">
        <v>68865</v>
      </c>
      <c r="O9" s="133">
        <v>62337</v>
      </c>
      <c r="P9" s="133">
        <v>56009</v>
      </c>
      <c r="Q9" s="198">
        <v>52524</v>
      </c>
    </row>
    <row r="10" spans="1:17" s="50" customFormat="1" ht="25.4" customHeight="1">
      <c r="A10" s="49"/>
      <c r="B10" s="281"/>
      <c r="C10" s="282" t="s">
        <v>153</v>
      </c>
      <c r="D10" s="370" t="str">
        <f>_EPRCS_VU_8e4dd81f_3407_4213_b912_fd9256f15d10</f>
        <v>33.6%</v>
      </c>
      <c r="E10" s="336" t="s">
        <v>266</v>
      </c>
      <c r="F10" s="172" t="str">
        <f>IF(B2="Q1","",IF(B2="Q2","",_EPRCS_VU_dbfe4375_d12c_4c75_93aa_d1c7a66cc8d7))</f>
        <v/>
      </c>
      <c r="G10" s="171" t="str">
        <f>IF(B2="Q1","",IF(B2="Q2","",IF(B2="Q3","",_EPRCS_VU_2094a576_1325_40af_b2c7_34f2db0a3834)))</f>
        <v/>
      </c>
      <c r="H10" s="182" t="str">
        <f>_EPRCS_VU_08859930_7f7c_4fa0_a1fe_332fe8da0365</f>
        <v>33.4%</v>
      </c>
      <c r="I10" s="172" t="s">
        <v>195</v>
      </c>
      <c r="J10" s="336" t="s">
        <v>196</v>
      </c>
      <c r="K10" s="172" t="s">
        <v>197</v>
      </c>
      <c r="L10" s="171" t="s">
        <v>198</v>
      </c>
      <c r="M10" s="187" t="s">
        <v>199</v>
      </c>
      <c r="N10" s="169">
        <v>0.32600000000000001</v>
      </c>
      <c r="O10" s="168">
        <v>0.308</v>
      </c>
      <c r="P10" s="168">
        <v>0.30196623912961434</v>
      </c>
      <c r="Q10" s="170">
        <v>0.30327386107742943</v>
      </c>
    </row>
    <row r="11" spans="1:17" ht="33.65" customHeight="1">
      <c r="B11" s="277" t="s">
        <v>154</v>
      </c>
      <c r="C11" s="278"/>
      <c r="D11" s="135">
        <f>_EPRCS_VU_3094ebd6_2cfc_49dc_99d6_ba1e092eb751</f>
        <v>16981</v>
      </c>
      <c r="E11" s="334">
        <v>17195</v>
      </c>
      <c r="F11" s="142" t="str">
        <f>IF(B2="Q1","",IF(B2="Q2","",_EPRCS_VU_d18d29fa_bbad_44b2_9a49_306b67c1e4c3))</f>
        <v/>
      </c>
      <c r="G11" s="133" t="str">
        <f>IF(B2="Q1","",IF(B2="Q2","",IF(B2="Q3","",_EPRCS_VU_b2e463a2_b3c1_4249_be85_a97b16ec2338)))</f>
        <v/>
      </c>
      <c r="H11" s="151">
        <f>_EPRCS_VU_3fa796ec_637c_4211_a2ae_e763b294289d</f>
        <v>34177</v>
      </c>
      <c r="I11" s="142">
        <v>14500</v>
      </c>
      <c r="J11" s="334">
        <v>18521</v>
      </c>
      <c r="K11" s="142">
        <v>16680</v>
      </c>
      <c r="L11" s="133">
        <v>21201</v>
      </c>
      <c r="M11" s="186">
        <v>70904</v>
      </c>
      <c r="N11" s="135">
        <v>68857</v>
      </c>
      <c r="O11" s="133">
        <v>62284</v>
      </c>
      <c r="P11" s="133">
        <v>56082</v>
      </c>
      <c r="Q11" s="198">
        <v>52672</v>
      </c>
    </row>
    <row r="12" spans="1:17" ht="33.65" customHeight="1" thickBot="1">
      <c r="B12" s="283" t="s">
        <v>155</v>
      </c>
      <c r="C12" s="284"/>
      <c r="D12" s="162">
        <f>_EPRCS_VU_b53a06ed_13e4_4719_afa6_0ccdc53f6afc</f>
        <v>11767</v>
      </c>
      <c r="E12" s="337">
        <v>11917</v>
      </c>
      <c r="F12" s="164" t="str">
        <f>IF(B2="Q1","",IF(B2="Q2","",_EPRCS_VU_c4b1b646_27a4_43a1_ad59_55c779e03b1f))</f>
        <v/>
      </c>
      <c r="G12" s="163" t="str">
        <f>IF(B2="Q1","",IF(B2="Q2","",IF(B2="Q3","",_EPRCS_VU_fa6d7704_0e3f_4355_95fb_27d7216e2598)))</f>
        <v/>
      </c>
      <c r="H12" s="183">
        <f>_EPRCS_VU_41160785_dda4_4301_8f0a_c65824059824</f>
        <v>23685</v>
      </c>
      <c r="I12" s="164">
        <v>10040</v>
      </c>
      <c r="J12" s="337">
        <v>12833</v>
      </c>
      <c r="K12" s="164">
        <v>11550</v>
      </c>
      <c r="L12" s="163">
        <v>14750</v>
      </c>
      <c r="M12" s="188">
        <v>49175</v>
      </c>
      <c r="N12" s="162">
        <v>47686</v>
      </c>
      <c r="O12" s="163">
        <v>43360</v>
      </c>
      <c r="P12" s="163">
        <v>38751</v>
      </c>
      <c r="Q12" s="199">
        <v>36360</v>
      </c>
    </row>
    <row r="13" spans="1:17" s="48" customFormat="1" ht="33.65" customHeight="1">
      <c r="A13" s="47"/>
      <c r="B13" s="285" t="s">
        <v>156</v>
      </c>
      <c r="C13" s="286"/>
      <c r="D13" s="371">
        <v>187874</v>
      </c>
      <c r="E13" s="338">
        <v>194366</v>
      </c>
      <c r="F13" s="315"/>
      <c r="G13" s="301"/>
      <c r="H13" s="302" t="s">
        <v>19</v>
      </c>
      <c r="I13" s="382">
        <v>286321</v>
      </c>
      <c r="J13" s="348">
        <v>298706</v>
      </c>
      <c r="K13" s="325">
        <v>294766</v>
      </c>
      <c r="L13" s="134">
        <v>333999</v>
      </c>
      <c r="M13" s="189" t="s">
        <v>19</v>
      </c>
      <c r="N13" s="136">
        <v>294139</v>
      </c>
      <c r="O13" s="134">
        <v>269518</v>
      </c>
      <c r="P13" s="134">
        <v>236509</v>
      </c>
      <c r="Q13" s="200">
        <v>198731</v>
      </c>
    </row>
    <row r="14" spans="1:17" s="37" customFormat="1" ht="33.65" customHeight="1">
      <c r="B14" s="279"/>
      <c r="C14" s="280" t="s">
        <v>157</v>
      </c>
      <c r="D14" s="372">
        <v>35294</v>
      </c>
      <c r="E14" s="339">
        <v>42219</v>
      </c>
      <c r="F14" s="316"/>
      <c r="G14" s="303"/>
      <c r="H14" s="304" t="s">
        <v>19</v>
      </c>
      <c r="I14" s="383">
        <v>242564</v>
      </c>
      <c r="J14" s="349">
        <v>255500</v>
      </c>
      <c r="K14" s="326">
        <v>41982</v>
      </c>
      <c r="L14" s="146">
        <v>81038</v>
      </c>
      <c r="M14" s="153" t="s">
        <v>19</v>
      </c>
      <c r="N14" s="145">
        <v>249832</v>
      </c>
      <c r="O14" s="146">
        <v>93005</v>
      </c>
      <c r="P14" s="146">
        <v>192290</v>
      </c>
      <c r="Q14" s="147">
        <v>155298</v>
      </c>
    </row>
    <row r="15" spans="1:17" s="37" customFormat="1" ht="33.65" customHeight="1">
      <c r="B15" s="277"/>
      <c r="C15" s="287" t="s">
        <v>158</v>
      </c>
      <c r="D15" s="373">
        <v>152580</v>
      </c>
      <c r="E15" s="340">
        <v>152147</v>
      </c>
      <c r="F15" s="317"/>
      <c r="G15" s="305"/>
      <c r="H15" s="304" t="s">
        <v>19</v>
      </c>
      <c r="I15" s="384">
        <v>43756</v>
      </c>
      <c r="J15" s="350">
        <v>43206</v>
      </c>
      <c r="K15" s="327">
        <v>252784</v>
      </c>
      <c r="L15" s="160">
        <v>252960</v>
      </c>
      <c r="M15" s="190" t="s">
        <v>19</v>
      </c>
      <c r="N15" s="159">
        <v>44306</v>
      </c>
      <c r="O15" s="160">
        <v>176512</v>
      </c>
      <c r="P15" s="160">
        <v>44218</v>
      </c>
      <c r="Q15" s="161">
        <v>43433</v>
      </c>
    </row>
    <row r="16" spans="1:17" ht="33.65" customHeight="1">
      <c r="B16" s="279" t="s">
        <v>159</v>
      </c>
      <c r="C16" s="280"/>
      <c r="D16" s="374">
        <v>103034</v>
      </c>
      <c r="E16" s="341">
        <v>96562</v>
      </c>
      <c r="F16" s="318"/>
      <c r="G16" s="306"/>
      <c r="H16" s="307" t="s">
        <v>19</v>
      </c>
      <c r="I16" s="385">
        <v>103925</v>
      </c>
      <c r="J16" s="351">
        <v>102881</v>
      </c>
      <c r="K16" s="328">
        <v>89584</v>
      </c>
      <c r="L16" s="141">
        <v>113999</v>
      </c>
      <c r="M16" s="191" t="s">
        <v>19</v>
      </c>
      <c r="N16" s="144">
        <v>102776</v>
      </c>
      <c r="O16" s="141">
        <v>109230</v>
      </c>
      <c r="P16" s="141">
        <v>105083</v>
      </c>
      <c r="Q16" s="201">
        <v>92948</v>
      </c>
    </row>
    <row r="17" spans="2:17" ht="33.65" customHeight="1" thickBot="1">
      <c r="B17" s="288" t="s">
        <v>160</v>
      </c>
      <c r="C17" s="289"/>
      <c r="D17" s="375">
        <v>84840</v>
      </c>
      <c r="E17" s="342">
        <v>97804</v>
      </c>
      <c r="F17" s="319"/>
      <c r="G17" s="308"/>
      <c r="H17" s="309" t="s">
        <v>19</v>
      </c>
      <c r="I17" s="386">
        <v>182396</v>
      </c>
      <c r="J17" s="334">
        <v>195825</v>
      </c>
      <c r="K17" s="142">
        <v>205182</v>
      </c>
      <c r="L17" s="133">
        <v>219999</v>
      </c>
      <c r="M17" s="192" t="s">
        <v>19</v>
      </c>
      <c r="N17" s="135">
        <v>191362</v>
      </c>
      <c r="O17" s="133">
        <v>160288</v>
      </c>
      <c r="P17" s="133">
        <v>131425</v>
      </c>
      <c r="Q17" s="198">
        <v>105783</v>
      </c>
    </row>
    <row r="18" spans="2:17" ht="33.65" customHeight="1">
      <c r="B18" s="290" t="s">
        <v>147</v>
      </c>
      <c r="C18" s="290"/>
      <c r="D18" s="376" t="s">
        <v>19</v>
      </c>
      <c r="E18" s="343" t="s">
        <v>19</v>
      </c>
      <c r="F18" s="320"/>
      <c r="G18" s="242"/>
      <c r="H18" s="243" t="s">
        <v>19</v>
      </c>
      <c r="I18" s="165" t="s">
        <v>19</v>
      </c>
      <c r="J18" s="333" t="s">
        <v>19</v>
      </c>
      <c r="K18" s="165" t="s">
        <v>19</v>
      </c>
      <c r="L18" s="206" t="s">
        <v>19</v>
      </c>
      <c r="M18" s="193">
        <v>105</v>
      </c>
      <c r="N18" s="166">
        <v>716</v>
      </c>
      <c r="O18" s="167">
        <v>3094</v>
      </c>
      <c r="P18" s="167">
        <v>1590</v>
      </c>
      <c r="Q18" s="202">
        <v>2408</v>
      </c>
    </row>
    <row r="19" spans="2:17" ht="33.65" customHeight="1">
      <c r="B19" s="291" t="s">
        <v>148</v>
      </c>
      <c r="C19" s="291"/>
      <c r="D19" s="377" t="s">
        <v>19</v>
      </c>
      <c r="E19" s="344" t="s">
        <v>19</v>
      </c>
      <c r="F19" s="321"/>
      <c r="G19" s="244"/>
      <c r="H19" s="245" t="s">
        <v>19</v>
      </c>
      <c r="I19" s="150" t="s">
        <v>19</v>
      </c>
      <c r="J19" s="352" t="s">
        <v>19</v>
      </c>
      <c r="K19" s="150" t="s">
        <v>19</v>
      </c>
      <c r="L19" s="207" t="s">
        <v>19</v>
      </c>
      <c r="M19" s="194">
        <v>2049</v>
      </c>
      <c r="N19" s="148">
        <v>2308</v>
      </c>
      <c r="O19" s="149">
        <v>2002</v>
      </c>
      <c r="P19" s="149">
        <v>1795</v>
      </c>
      <c r="Q19" s="203">
        <v>1383</v>
      </c>
    </row>
    <row r="20" spans="2:17" ht="33.65" customHeight="1">
      <c r="B20" s="291" t="s">
        <v>145</v>
      </c>
      <c r="C20" s="291"/>
      <c r="D20" s="377" t="s">
        <v>19</v>
      </c>
      <c r="E20" s="344" t="s">
        <v>19</v>
      </c>
      <c r="F20" s="321"/>
      <c r="G20" s="244"/>
      <c r="H20" s="245" t="s">
        <v>19</v>
      </c>
      <c r="I20" s="150" t="s">
        <v>19</v>
      </c>
      <c r="J20" s="352" t="s">
        <v>19</v>
      </c>
      <c r="K20" s="150" t="s">
        <v>19</v>
      </c>
      <c r="L20" s="207" t="s">
        <v>19</v>
      </c>
      <c r="M20" s="194">
        <v>1146</v>
      </c>
      <c r="N20" s="148">
        <v>149</v>
      </c>
      <c r="O20" s="149">
        <v>136</v>
      </c>
      <c r="P20" s="149">
        <v>121</v>
      </c>
      <c r="Q20" s="203">
        <v>114</v>
      </c>
    </row>
    <row r="21" spans="2:17" ht="33.65" customHeight="1">
      <c r="B21" s="291" t="s">
        <v>146</v>
      </c>
      <c r="C21" s="291"/>
      <c r="D21" s="378" t="s">
        <v>19</v>
      </c>
      <c r="E21" s="345" t="s">
        <v>19</v>
      </c>
      <c r="F21" s="322"/>
      <c r="G21" s="246"/>
      <c r="H21" s="245" t="s">
        <v>19</v>
      </c>
      <c r="I21" s="155" t="s">
        <v>19</v>
      </c>
      <c r="J21" s="353" t="s">
        <v>19</v>
      </c>
      <c r="K21" s="155" t="s">
        <v>19</v>
      </c>
      <c r="L21" s="154" t="s">
        <v>19</v>
      </c>
      <c r="M21" s="195">
        <v>298.5</v>
      </c>
      <c r="N21" s="156">
        <v>40</v>
      </c>
      <c r="O21" s="157">
        <v>40.1</v>
      </c>
      <c r="P21" s="157">
        <v>39.9</v>
      </c>
      <c r="Q21" s="204">
        <v>40</v>
      </c>
    </row>
    <row r="22" spans="2:17" ht="33.65" customHeight="1" thickBot="1">
      <c r="B22" s="283" t="s">
        <v>161</v>
      </c>
      <c r="C22" s="284"/>
      <c r="D22" s="379">
        <v>2385</v>
      </c>
      <c r="E22" s="346">
        <v>2387</v>
      </c>
      <c r="F22" s="323"/>
      <c r="G22" s="247"/>
      <c r="H22" s="248" t="s">
        <v>19</v>
      </c>
      <c r="I22" s="387">
        <v>2470</v>
      </c>
      <c r="J22" s="354">
        <v>2415</v>
      </c>
      <c r="K22" s="329">
        <v>2399</v>
      </c>
      <c r="L22" s="140">
        <v>2407</v>
      </c>
      <c r="M22" s="196" t="s">
        <v>19</v>
      </c>
      <c r="N22" s="158">
        <v>2504</v>
      </c>
      <c r="O22" s="140">
        <v>2622</v>
      </c>
      <c r="P22" s="132">
        <v>2497</v>
      </c>
      <c r="Q22" s="205">
        <v>2422</v>
      </c>
    </row>
    <row r="23" spans="2:17" ht="20.149999999999999" customHeight="1">
      <c r="B23" s="249" t="s">
        <v>162</v>
      </c>
      <c r="C23" s="250"/>
      <c r="D23" s="380"/>
      <c r="E23" s="251"/>
      <c r="F23" s="252"/>
      <c r="G23" s="253"/>
      <c r="H23" s="251"/>
      <c r="I23" s="380"/>
      <c r="J23" s="251"/>
      <c r="K23" s="330"/>
      <c r="L23" s="255"/>
      <c r="M23" s="256"/>
      <c r="N23" s="251"/>
      <c r="O23" s="251"/>
      <c r="P23" s="254"/>
      <c r="Q23" s="255"/>
    </row>
    <row r="24" spans="2:17" ht="20.149999999999999" customHeight="1">
      <c r="B24" s="257" t="s">
        <v>253</v>
      </c>
      <c r="C24" s="250"/>
      <c r="D24" s="251"/>
      <c r="E24" s="251"/>
      <c r="F24" s="252"/>
      <c r="G24" s="253"/>
      <c r="H24" s="251"/>
      <c r="I24" s="251"/>
      <c r="J24" s="251"/>
      <c r="K24" s="330"/>
      <c r="L24" s="255"/>
      <c r="M24" s="256"/>
      <c r="N24" s="251"/>
      <c r="O24" s="251"/>
      <c r="P24" s="254"/>
      <c r="Q24" s="255"/>
    </row>
    <row r="25" spans="2:17" ht="13.9" customHeight="1">
      <c r="B25" s="257"/>
      <c r="C25" s="250"/>
      <c r="D25" s="251"/>
      <c r="E25" s="251"/>
      <c r="F25" s="252"/>
      <c r="G25" s="253"/>
      <c r="H25" s="251"/>
      <c r="I25" s="251"/>
      <c r="J25" s="251"/>
      <c r="K25" s="254"/>
      <c r="L25" s="255"/>
      <c r="M25" s="256"/>
      <c r="N25" s="251"/>
      <c r="O25" s="251"/>
      <c r="P25" s="254"/>
      <c r="Q25" s="255"/>
    </row>
    <row r="26" spans="2:17" ht="23.65" customHeight="1" thickBot="1">
      <c r="B26" s="258" t="s">
        <v>194</v>
      </c>
      <c r="C26" s="250"/>
      <c r="D26" s="259"/>
      <c r="E26" s="260" t="s">
        <v>103</v>
      </c>
      <c r="F26" s="252"/>
      <c r="G26" s="253"/>
      <c r="H26" s="251"/>
      <c r="I26" s="251"/>
      <c r="J26" s="251"/>
      <c r="K26" s="254"/>
      <c r="L26" s="255"/>
      <c r="M26" s="256"/>
      <c r="N26" s="251"/>
      <c r="O26" s="251"/>
      <c r="P26" s="254"/>
      <c r="Q26" s="255"/>
    </row>
    <row r="27" spans="2:17" ht="23.65" customHeight="1" thickBot="1">
      <c r="B27" s="250"/>
      <c r="C27" s="261"/>
      <c r="D27" s="262" t="s">
        <v>102</v>
      </c>
      <c r="E27" s="263" t="s">
        <v>101</v>
      </c>
      <c r="F27" s="252"/>
      <c r="G27" s="253"/>
      <c r="H27" s="251"/>
      <c r="I27" s="251"/>
      <c r="J27" s="251"/>
      <c r="K27" s="254"/>
      <c r="L27" s="255"/>
      <c r="M27" s="256"/>
      <c r="N27" s="251"/>
      <c r="O27" s="251"/>
      <c r="P27" s="254"/>
      <c r="Q27" s="255"/>
    </row>
    <row r="28" spans="2:17" ht="23.65" customHeight="1">
      <c r="B28" s="250"/>
      <c r="C28" s="264" t="s">
        <v>116</v>
      </c>
      <c r="D28" s="265">
        <v>1</v>
      </c>
      <c r="E28" s="266">
        <v>4</v>
      </c>
      <c r="F28" s="252"/>
      <c r="G28" s="253"/>
      <c r="H28" s="251"/>
      <c r="I28" s="251"/>
      <c r="J28" s="251"/>
      <c r="K28" s="254"/>
      <c r="L28" s="255"/>
      <c r="M28" s="256"/>
      <c r="N28" s="251"/>
      <c r="O28" s="251"/>
      <c r="P28" s="254"/>
      <c r="Q28" s="255"/>
    </row>
    <row r="29" spans="2:17" ht="23.65" customHeight="1">
      <c r="B29" s="250"/>
      <c r="C29" s="264" t="s">
        <v>104</v>
      </c>
      <c r="D29" s="267">
        <v>385</v>
      </c>
      <c r="E29" s="268">
        <v>395</v>
      </c>
      <c r="F29" s="252"/>
      <c r="G29" s="253"/>
      <c r="H29" s="251"/>
      <c r="I29" s="251"/>
      <c r="J29" s="251"/>
      <c r="K29" s="254"/>
      <c r="L29" s="255"/>
      <c r="M29" s="256"/>
      <c r="N29" s="251"/>
      <c r="O29" s="251"/>
      <c r="P29" s="254"/>
      <c r="Q29" s="255"/>
    </row>
    <row r="30" spans="2:17" ht="20.149999999999999" customHeight="1">
      <c r="B30" s="250"/>
      <c r="C30" s="269" t="s">
        <v>167</v>
      </c>
      <c r="D30" s="269"/>
      <c r="E30" s="270"/>
      <c r="F30" s="252"/>
      <c r="G30" s="253"/>
      <c r="H30" s="251"/>
      <c r="I30" s="251"/>
      <c r="J30" s="251"/>
      <c r="K30" s="254"/>
      <c r="L30" s="255"/>
      <c r="M30" s="256"/>
      <c r="N30" s="251"/>
      <c r="O30" s="251"/>
      <c r="P30" s="254"/>
      <c r="Q30" s="255"/>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I10:M10 E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selection pane="bottomLeft"/>
      <selection pane="bottomRight"/>
    </sheetView>
  </sheetViews>
  <sheetFormatPr defaultColWidth="9" defaultRowHeight="22"/>
  <cols>
    <col min="1" max="1" width="2.6328125" style="71" customWidth="1"/>
    <col min="2" max="4" width="3.90625" style="71" customWidth="1"/>
    <col min="5" max="5" width="80.36328125" style="71" customWidth="1"/>
    <col min="6" max="15" width="18.08984375" style="71" customWidth="1"/>
    <col min="16" max="16" width="4.36328125" style="71" customWidth="1"/>
    <col min="17" max="20" width="9" style="71" hidden="1" customWidth="1"/>
    <col min="21" max="21" width="9" style="71"/>
    <col min="22" max="23" width="18.08984375" style="71" bestFit="1" customWidth="1"/>
    <col min="24" max="16384" width="9" style="71"/>
  </cols>
  <sheetData>
    <row r="1" spans="2:15" s="68" customFormat="1" ht="23.25" customHeight="1">
      <c r="B1" s="69" t="s">
        <v>120</v>
      </c>
      <c r="C1" s="69"/>
      <c r="D1" s="69"/>
      <c r="E1" s="69"/>
      <c r="F1" s="69"/>
      <c r="G1" s="69"/>
      <c r="H1" s="124"/>
      <c r="I1" s="124"/>
      <c r="J1" s="124"/>
      <c r="K1" s="124"/>
      <c r="L1" s="124"/>
      <c r="M1" s="124"/>
      <c r="N1" s="124"/>
      <c r="O1" s="70"/>
    </row>
    <row r="2" spans="2:15" ht="30.75" customHeight="1" thickBot="1">
      <c r="B2" s="82" t="s">
        <v>116</v>
      </c>
      <c r="C2" s="76"/>
      <c r="D2" s="76"/>
      <c r="E2" s="76"/>
      <c r="F2" s="241" t="str">
        <f>_EPRCS_VU_3ffbb6f6_54d7_486d_8232_00e5c17540a4</f>
        <v>Q2</v>
      </c>
      <c r="G2" s="76"/>
      <c r="H2" s="76"/>
      <c r="I2" s="76"/>
      <c r="J2" s="76"/>
      <c r="K2" s="76"/>
      <c r="L2" s="76"/>
      <c r="M2" s="76"/>
      <c r="N2" s="76"/>
      <c r="O2" s="76" t="s">
        <v>192</v>
      </c>
    </row>
    <row r="3" spans="2:15" ht="24.75" customHeight="1">
      <c r="B3" s="391"/>
      <c r="C3" s="392"/>
      <c r="D3" s="392"/>
      <c r="E3" s="392"/>
      <c r="F3" s="80"/>
      <c r="G3" s="72"/>
      <c r="H3" s="78">
        <v>44682</v>
      </c>
      <c r="I3" s="72"/>
      <c r="J3" s="73"/>
      <c r="K3" s="80"/>
      <c r="L3" s="72"/>
      <c r="M3" s="78">
        <v>44317</v>
      </c>
      <c r="N3" s="72"/>
      <c r="O3" s="73"/>
    </row>
    <row r="4" spans="2:15" ht="24.75" customHeight="1" thickBot="1">
      <c r="B4" s="393"/>
      <c r="C4" s="394"/>
      <c r="D4" s="394"/>
      <c r="E4" s="394"/>
      <c r="F4" s="81" t="s">
        <v>61</v>
      </c>
      <c r="G4" s="112" t="s">
        <v>62</v>
      </c>
      <c r="H4" s="128" t="s">
        <v>63</v>
      </c>
      <c r="I4" s="74" t="s">
        <v>64</v>
      </c>
      <c r="J4" s="79" t="s">
        <v>65</v>
      </c>
      <c r="K4" s="81" t="s">
        <v>61</v>
      </c>
      <c r="L4" s="112" t="s">
        <v>62</v>
      </c>
      <c r="M4" s="128" t="s">
        <v>63</v>
      </c>
      <c r="N4" s="74" t="s">
        <v>64</v>
      </c>
      <c r="O4" s="79" t="s">
        <v>65</v>
      </c>
    </row>
    <row r="5" spans="2:15" ht="26.25" customHeight="1">
      <c r="B5" s="75"/>
      <c r="C5" s="403" t="s">
        <v>127</v>
      </c>
      <c r="D5" s="396"/>
      <c r="E5" s="396"/>
      <c r="F5" s="83">
        <v>7964</v>
      </c>
      <c r="G5" s="355">
        <v>10061</v>
      </c>
      <c r="H5" s="85" t="str">
        <f>IF(F2="Q1","",IF(F2="Q2","",_EPRCS_VU_1395e09e_1d76_4f6b_8c37_a2482d553fe4))</f>
        <v/>
      </c>
      <c r="I5" s="85" t="str">
        <f>IF(F2="Q1","",IF(F2="Q2","",IF(F2="Q3","",_EPRCS_VU_9f508fa1_13d5_4218_ad90_3a2598e85130)))</f>
        <v/>
      </c>
      <c r="J5" s="179">
        <v>18025</v>
      </c>
      <c r="K5" s="83">
        <v>8137</v>
      </c>
      <c r="L5" s="355">
        <v>12384</v>
      </c>
      <c r="M5" s="85">
        <v>9478</v>
      </c>
      <c r="N5" s="85">
        <v>17173</v>
      </c>
      <c r="O5" s="179">
        <v>47173</v>
      </c>
    </row>
    <row r="6" spans="2:15" ht="26.25" customHeight="1">
      <c r="B6" s="75"/>
      <c r="C6" s="404"/>
      <c r="D6" s="398"/>
      <c r="E6" s="398"/>
      <c r="F6" s="88" t="s">
        <v>278</v>
      </c>
      <c r="G6" s="93" t="s">
        <v>267</v>
      </c>
      <c r="H6" s="91" t="str">
        <f>IF(F2="Q1","",IF(F2="Q2","",_EPRCS_VU_cac8e68f_a129_45e5_87c9_ad721399847b))</f>
        <v/>
      </c>
      <c r="I6" s="91" t="str">
        <f>IF(F2="Q1","",IF(F2="Q2","",IF(F2="Q3","",_EPRCS_VU_b44ebad9_1fc8_462a_91fc_668680a3dc73)))</f>
        <v/>
      </c>
      <c r="J6" s="92" t="s">
        <v>289</v>
      </c>
      <c r="K6" s="88" t="s">
        <v>200</v>
      </c>
      <c r="L6" s="93" t="s">
        <v>201</v>
      </c>
      <c r="M6" s="91" t="s">
        <v>202</v>
      </c>
      <c r="N6" s="91" t="s">
        <v>203</v>
      </c>
      <c r="O6" s="92" t="s">
        <v>204</v>
      </c>
    </row>
    <row r="7" spans="2:15" ht="26.25" customHeight="1">
      <c r="B7" s="75"/>
      <c r="C7" s="403" t="s">
        <v>128</v>
      </c>
      <c r="D7" s="396"/>
      <c r="E7" s="396"/>
      <c r="F7" s="83">
        <v>33620</v>
      </c>
      <c r="G7" s="355">
        <v>32581</v>
      </c>
      <c r="H7" s="85" t="str">
        <f>IF(F2="Q1","",IF(F2="Q2","",_EPRCS_VU_6e0e8af5_ff99_4214_a097_56a3c9b4c5c1))</f>
        <v/>
      </c>
      <c r="I7" s="85" t="str">
        <f>IF(F2="Q1","",IF(F2="Q2","",IF(F2="Q3","",_EPRCS_VU_7181cdd3_a8d7_4f10_a1c4_fe387c4e8eb9)))</f>
        <v/>
      </c>
      <c r="J7" s="179">
        <v>66201</v>
      </c>
      <c r="K7" s="83">
        <v>30330</v>
      </c>
      <c r="L7" s="355">
        <v>30584</v>
      </c>
      <c r="M7" s="85">
        <v>30764</v>
      </c>
      <c r="N7" s="85">
        <v>31371</v>
      </c>
      <c r="O7" s="179">
        <v>123052</v>
      </c>
    </row>
    <row r="8" spans="2:15" ht="26.25" customHeight="1">
      <c r="B8" s="75"/>
      <c r="C8" s="404"/>
      <c r="D8" s="398"/>
      <c r="E8" s="398"/>
      <c r="F8" s="88" t="s">
        <v>279</v>
      </c>
      <c r="G8" s="93" t="s">
        <v>268</v>
      </c>
      <c r="H8" s="91" t="str">
        <f>IF(F2="Q1","",IF(F2="Q2","",_EPRCS_VU_0d56d328_51b1_4120_85b0_654b27dff96b))</f>
        <v/>
      </c>
      <c r="I8" s="91" t="str">
        <f>IF(F2="Q1","",IF(F2="Q2","",IF(F2="Q3","",_EPRCS_VU_05847cac_1051_4b78_a6b2_7b08983d1aae)))</f>
        <v/>
      </c>
      <c r="J8" s="92" t="s">
        <v>290</v>
      </c>
      <c r="K8" s="88" t="s">
        <v>205</v>
      </c>
      <c r="L8" s="93" t="s">
        <v>206</v>
      </c>
      <c r="M8" s="91" t="s">
        <v>207</v>
      </c>
      <c r="N8" s="91" t="s">
        <v>208</v>
      </c>
      <c r="O8" s="92" t="s">
        <v>209</v>
      </c>
    </row>
    <row r="9" spans="2:15" ht="26.25" customHeight="1">
      <c r="B9" s="395" t="s">
        <v>129</v>
      </c>
      <c r="C9" s="396"/>
      <c r="D9" s="396"/>
      <c r="E9" s="396"/>
      <c r="F9" s="83">
        <v>41584</v>
      </c>
      <c r="G9" s="102">
        <v>42642</v>
      </c>
      <c r="H9" s="76" t="str">
        <f>IF(F2="Q1","",IF(F2="Q2","",_EPRCS_VU_35b2be91_2794_4c7c_b7ef_4fddeae71ecf))</f>
        <v/>
      </c>
      <c r="I9" s="87" t="str">
        <f>IF(F2="Q1","",IF(F2="Q2","",IF(F2="Q3","",_EPRCS_VU_251628c4_c58d_484a_b475_de5c6294c369)))</f>
        <v/>
      </c>
      <c r="J9" s="179">
        <v>84227</v>
      </c>
      <c r="K9" s="83">
        <v>38467</v>
      </c>
      <c r="L9" s="102">
        <v>42969</v>
      </c>
      <c r="M9" s="76">
        <v>40242</v>
      </c>
      <c r="N9" s="87">
        <v>48545</v>
      </c>
      <c r="O9" s="86">
        <v>170225</v>
      </c>
    </row>
    <row r="10" spans="2:15" ht="26.25" customHeight="1">
      <c r="B10" s="397"/>
      <c r="C10" s="398"/>
      <c r="D10" s="398"/>
      <c r="E10" s="398"/>
      <c r="F10" s="100" t="s">
        <v>280</v>
      </c>
      <c r="G10" s="90" t="s">
        <v>269</v>
      </c>
      <c r="H10" s="129" t="str">
        <f>IF(F2="Q1","",IF(F2="Q2","",_EPRCS_VU_385d0572_d5a5_43b1_9350_237b20747ae2))</f>
        <v/>
      </c>
      <c r="I10" s="91" t="str">
        <f>IF(F2="Q1","",IF(F2="Q2","",IF(F2="Q3","",_EPRCS_VU_fb2e8d2b_4f46_4a36_9da5_d47e5ee35651)))</f>
        <v/>
      </c>
      <c r="J10" s="92" t="s">
        <v>291</v>
      </c>
      <c r="K10" s="100" t="s">
        <v>210</v>
      </c>
      <c r="L10" s="90" t="s">
        <v>211</v>
      </c>
      <c r="M10" s="129" t="s">
        <v>212</v>
      </c>
      <c r="N10" s="91" t="s">
        <v>213</v>
      </c>
      <c r="O10" s="92" t="s">
        <v>214</v>
      </c>
    </row>
    <row r="11" spans="2:15" ht="26.25" customHeight="1">
      <c r="B11" s="395" t="s">
        <v>112</v>
      </c>
      <c r="C11" s="396"/>
      <c r="D11" s="396"/>
      <c r="E11" s="396"/>
      <c r="F11" s="83">
        <v>3537</v>
      </c>
      <c r="G11" s="355">
        <v>3563</v>
      </c>
      <c r="H11" s="84" t="str">
        <f>IF(F2="Q1","",IF(F2="Q2","",_EPRCS_VU_33c7b926_926a_4b79_8629_dc648f4a43ec))</f>
        <v/>
      </c>
      <c r="I11" s="85" t="str">
        <f>IF(F2="Q1","",IF(F2="Q2","",IF(F2="Q3","",_EPRCS_VU_fe4d7699_461e_416e_b096_70d49d965f13)))</f>
        <v/>
      </c>
      <c r="J11" s="179">
        <v>7101</v>
      </c>
      <c r="K11" s="83">
        <v>4003</v>
      </c>
      <c r="L11" s="355">
        <v>4138</v>
      </c>
      <c r="M11" s="84">
        <v>4000</v>
      </c>
      <c r="N11" s="85">
        <v>4940</v>
      </c>
      <c r="O11" s="86">
        <v>17083</v>
      </c>
    </row>
    <row r="12" spans="2:15" ht="26.25" customHeight="1">
      <c r="B12" s="397"/>
      <c r="C12" s="398"/>
      <c r="D12" s="398"/>
      <c r="E12" s="398"/>
      <c r="F12" s="88" t="s">
        <v>281</v>
      </c>
      <c r="G12" s="93" t="s">
        <v>270</v>
      </c>
      <c r="H12" s="89" t="str">
        <f>IF(F2="Q1","",IF(F2="Q2","",_EPRCS_VU_a85bf1b5_4ec4_4f50_a617_741ee9d83425))</f>
        <v/>
      </c>
      <c r="I12" s="91" t="str">
        <f>IF(F2="Q1","",IF(F2="Q2","",IF(F2="Q3","",_EPRCS_VU_28e871d9_0315_4f4e_9c8c_7ab2f5d7a4d6)))</f>
        <v/>
      </c>
      <c r="J12" s="92" t="s">
        <v>292</v>
      </c>
      <c r="K12" s="88" t="s">
        <v>215</v>
      </c>
      <c r="L12" s="93" t="s">
        <v>216</v>
      </c>
      <c r="M12" s="89" t="s">
        <v>217</v>
      </c>
      <c r="N12" s="91" t="s">
        <v>218</v>
      </c>
      <c r="O12" s="92" t="s">
        <v>219</v>
      </c>
    </row>
    <row r="13" spans="2:15" ht="26.25" customHeight="1">
      <c r="B13" s="399" t="s">
        <v>123</v>
      </c>
      <c r="C13" s="400"/>
      <c r="D13" s="400"/>
      <c r="E13" s="400"/>
      <c r="F13" s="83">
        <v>5266</v>
      </c>
      <c r="G13" s="355">
        <v>5490</v>
      </c>
      <c r="H13" s="84" t="str">
        <f>IF(F2="Q1","",IF(F2="Q2","",_EPRCS_VU_1cd58af8_db01_4aa2_9e11_6fc7f70f4249))</f>
        <v/>
      </c>
      <c r="I13" s="85" t="str">
        <f>IF(F2="Q1","",IF(F2="Q2","",IF(F2="Q3","",_EPRCS_VU_a35e2e93_a725_4427_b70d_5007693b6333)))</f>
        <v/>
      </c>
      <c r="J13" s="179">
        <v>10756</v>
      </c>
      <c r="K13" s="83">
        <v>5157</v>
      </c>
      <c r="L13" s="355">
        <v>5508</v>
      </c>
      <c r="M13" s="84">
        <v>5208</v>
      </c>
      <c r="N13" s="85">
        <v>5339</v>
      </c>
      <c r="O13" s="86">
        <v>21214</v>
      </c>
    </row>
    <row r="14" spans="2:15" ht="26.25" customHeight="1">
      <c r="B14" s="397"/>
      <c r="C14" s="398"/>
      <c r="D14" s="398"/>
      <c r="E14" s="398"/>
      <c r="F14" s="88" t="s">
        <v>282</v>
      </c>
      <c r="G14" s="93" t="s">
        <v>271</v>
      </c>
      <c r="H14" s="89" t="str">
        <f>IF(F2="Q1","",IF(F2="Q2","",_EPRCS_VU_be52bb4b_6914_4729_9b1e_761b7952033e))</f>
        <v/>
      </c>
      <c r="I14" s="91" t="str">
        <f>IF(F2="Q1","",IF(F2="Q2","",IF(F2="Q3","",_EPRCS_VU_a3353e2f_4e4e_40a0_b2c5_988f7c259047)))</f>
        <v/>
      </c>
      <c r="J14" s="92" t="s">
        <v>247</v>
      </c>
      <c r="K14" s="88" t="s">
        <v>220</v>
      </c>
      <c r="L14" s="93" t="s">
        <v>221</v>
      </c>
      <c r="M14" s="89" t="s">
        <v>222</v>
      </c>
      <c r="N14" s="91" t="s">
        <v>223</v>
      </c>
      <c r="O14" s="92" t="s">
        <v>224</v>
      </c>
    </row>
    <row r="15" spans="2:15" ht="26.25" customHeight="1">
      <c r="B15" s="399" t="s">
        <v>115</v>
      </c>
      <c r="C15" s="400"/>
      <c r="D15" s="400"/>
      <c r="E15" s="400"/>
      <c r="F15" s="83">
        <v>50388</v>
      </c>
      <c r="G15" s="355">
        <v>51696</v>
      </c>
      <c r="H15" s="84" t="str">
        <f>IF(F2="Q1","",IF(F2="Q2","",_EPRCS_VU_e0832ab7_1e34_4b11_9d71_fd4ae5085afd))</f>
        <v/>
      </c>
      <c r="I15" s="85" t="str">
        <f>IF(F2="Q1","",IF(F2="Q2","",IF(F2="Q3","",_EPRCS_VU_1a78226f_8069_40c6_876e_5040284d406c)))</f>
        <v/>
      </c>
      <c r="J15" s="179">
        <v>102084</v>
      </c>
      <c r="K15" s="83">
        <v>47629</v>
      </c>
      <c r="L15" s="355">
        <v>52617</v>
      </c>
      <c r="M15" s="84">
        <v>49452</v>
      </c>
      <c r="N15" s="85">
        <v>58825</v>
      </c>
      <c r="O15" s="179">
        <v>208523</v>
      </c>
    </row>
    <row r="16" spans="2:15" ht="26.25" customHeight="1" thickBot="1">
      <c r="B16" s="401"/>
      <c r="C16" s="402"/>
      <c r="D16" s="402"/>
      <c r="E16" s="402"/>
      <c r="F16" s="95" t="s">
        <v>283</v>
      </c>
      <c r="G16" s="97" t="s">
        <v>272</v>
      </c>
      <c r="H16" s="96" t="str">
        <f>IF(F2="Q1","",IF(F2="Q2","",_EPRCS_VU_cede7a84_8ef6_4b80_b4e5_b4eb80ebaf02))</f>
        <v/>
      </c>
      <c r="I16" s="98" t="str">
        <f>IF(F2="Q1","",IF(F2="Q2","",IF(F2="Q3","",_EPRCS_VU_687266c7_2e79_4df2_adde_3bc9982609c1)))</f>
        <v/>
      </c>
      <c r="J16" s="99" t="s">
        <v>293</v>
      </c>
      <c r="K16" s="95" t="s">
        <v>225</v>
      </c>
      <c r="L16" s="97" t="s">
        <v>226</v>
      </c>
      <c r="M16" s="96" t="s">
        <v>227</v>
      </c>
      <c r="N16" s="98" t="s">
        <v>228</v>
      </c>
      <c r="O16" s="99" t="s">
        <v>229</v>
      </c>
    </row>
    <row r="17" spans="1:15" ht="42" customHeight="1" thickBot="1">
      <c r="B17" s="82" t="s">
        <v>117</v>
      </c>
    </row>
    <row r="18" spans="1:15" ht="26.25" customHeight="1">
      <c r="B18" s="391"/>
      <c r="C18" s="392"/>
      <c r="D18" s="392"/>
      <c r="E18" s="392"/>
      <c r="F18" s="80"/>
      <c r="G18" s="72"/>
      <c r="H18" s="78">
        <v>44682</v>
      </c>
      <c r="I18" s="72"/>
      <c r="J18" s="73"/>
      <c r="K18" s="125"/>
      <c r="L18" s="72"/>
      <c r="M18" s="78">
        <v>44317</v>
      </c>
      <c r="N18" s="72"/>
      <c r="O18" s="73"/>
    </row>
    <row r="19" spans="1:15" ht="26.25" customHeight="1" thickBot="1">
      <c r="B19" s="393"/>
      <c r="C19" s="394"/>
      <c r="D19" s="394"/>
      <c r="E19" s="394"/>
      <c r="F19" s="81" t="s">
        <v>61</v>
      </c>
      <c r="G19" s="112" t="s">
        <v>62</v>
      </c>
      <c r="H19" s="128" t="s">
        <v>63</v>
      </c>
      <c r="I19" s="74" t="s">
        <v>64</v>
      </c>
      <c r="J19" s="79" t="s">
        <v>65</v>
      </c>
      <c r="K19" s="128" t="s">
        <v>61</v>
      </c>
      <c r="L19" s="112" t="s">
        <v>62</v>
      </c>
      <c r="M19" s="128" t="s">
        <v>63</v>
      </c>
      <c r="N19" s="74" t="s">
        <v>64</v>
      </c>
      <c r="O19" s="79" t="s">
        <v>65</v>
      </c>
    </row>
    <row r="20" spans="1:15" s="77" customFormat="1" ht="26.25" customHeight="1">
      <c r="B20" s="395" t="s">
        <v>129</v>
      </c>
      <c r="C20" s="396"/>
      <c r="D20" s="396"/>
      <c r="E20" s="396"/>
      <c r="F20" s="83">
        <v>16901</v>
      </c>
      <c r="G20" s="356">
        <v>16828</v>
      </c>
      <c r="H20" s="76" t="str">
        <f>IF(F2="Q1","",IF(F2="Q2","",_EPRCS_VU_9021694a_84de_4036_956b_e129053339f3))</f>
        <v/>
      </c>
      <c r="I20" s="85" t="str">
        <f>IF(F2="Q1","",IF(F2="Q2","",IF(F2="Q3","",_EPRCS_VU_b390fcae_a814_4f7b_a303_91db1d56def1)))</f>
        <v/>
      </c>
      <c r="J20" s="86">
        <v>33729</v>
      </c>
      <c r="K20" s="76">
        <v>14899</v>
      </c>
      <c r="L20" s="356">
        <v>17929</v>
      </c>
      <c r="M20" s="76">
        <v>16319</v>
      </c>
      <c r="N20" s="85">
        <v>20962</v>
      </c>
      <c r="O20" s="86">
        <v>70110</v>
      </c>
    </row>
    <row r="21" spans="1:15" s="77" customFormat="1" ht="26.25" customHeight="1">
      <c r="B21" s="397"/>
      <c r="C21" s="398"/>
      <c r="D21" s="398"/>
      <c r="E21" s="398"/>
      <c r="F21" s="88" t="s">
        <v>284</v>
      </c>
      <c r="G21" s="90" t="s">
        <v>273</v>
      </c>
      <c r="H21" s="129" t="str">
        <f>IF(F2="Q1","",IF(F2="Q2","",_EPRCS_VU_0252fb03_b79e_42c9_b0a7_21e0fdb3dde0))</f>
        <v/>
      </c>
      <c r="I21" s="91" t="str">
        <f>IF(F2="Q1","",IF(F2="Q2","",IF(F2="Q3","",_EPRCS_VU_be16af8c_261a_4cb3_85fc_4264db14f4bb)))</f>
        <v/>
      </c>
      <c r="J21" s="92" t="s">
        <v>294</v>
      </c>
      <c r="K21" s="129" t="s">
        <v>230</v>
      </c>
      <c r="L21" s="90" t="s">
        <v>231</v>
      </c>
      <c r="M21" s="129" t="s">
        <v>232</v>
      </c>
      <c r="N21" s="91" t="s">
        <v>233</v>
      </c>
      <c r="O21" s="92" t="s">
        <v>221</v>
      </c>
    </row>
    <row r="22" spans="1:15" s="77" customFormat="1" ht="26.25" customHeight="1">
      <c r="B22" s="409" t="s">
        <v>112</v>
      </c>
      <c r="C22" s="410"/>
      <c r="D22" s="410"/>
      <c r="E22" s="410"/>
      <c r="F22" s="101">
        <v>158</v>
      </c>
      <c r="G22" s="102">
        <v>158</v>
      </c>
      <c r="H22" s="87" t="str">
        <f>IF(F2="Q1","",IF(F2="Q2","",_EPRCS_VU_1007ac04_c1fc_4b8b_9be1_7e9574b703c6))</f>
        <v/>
      </c>
      <c r="I22" s="87" t="str">
        <f>IF(F2="Q1","",IF(F2="Q2","",IF(F2="Q3","",_EPRCS_VU_14f1544d_96e1_4f32_a620_28468d3590da)))</f>
        <v/>
      </c>
      <c r="J22" s="86">
        <v>317</v>
      </c>
      <c r="K22" s="360">
        <v>151</v>
      </c>
      <c r="L22" s="102">
        <v>194</v>
      </c>
      <c r="M22" s="87">
        <v>139</v>
      </c>
      <c r="N22" s="87">
        <v>214</v>
      </c>
      <c r="O22" s="103">
        <v>699</v>
      </c>
    </row>
    <row r="23" spans="1:15" s="77" customFormat="1" ht="26.25" customHeight="1">
      <c r="B23" s="411"/>
      <c r="C23" s="412"/>
      <c r="D23" s="412"/>
      <c r="E23" s="412"/>
      <c r="F23" s="100" t="s">
        <v>285</v>
      </c>
      <c r="G23" s="90" t="s">
        <v>274</v>
      </c>
      <c r="H23" s="91" t="str">
        <f>IF(F2="Q1","",IF(F2="Q2","",_EPRCS_VU_44aed363_8388_4c80_a5d4_1853aa6e15ac))</f>
        <v/>
      </c>
      <c r="I23" s="91" t="str">
        <f>IF(F2="Q1","",IF(F2="Q2","",IF(F2="Q3","",_EPRCS_VU_6f376bb2_82e3_4efe_b37b_5b1983c397ee)))</f>
        <v/>
      </c>
      <c r="J23" s="104" t="s">
        <v>295</v>
      </c>
      <c r="K23" s="361" t="s">
        <v>234</v>
      </c>
      <c r="L23" s="90" t="s">
        <v>235</v>
      </c>
      <c r="M23" s="91" t="s">
        <v>236</v>
      </c>
      <c r="N23" s="91" t="s">
        <v>237</v>
      </c>
      <c r="O23" s="104" t="s">
        <v>238</v>
      </c>
    </row>
    <row r="24" spans="1:15" s="77" customFormat="1" ht="26.25" customHeight="1">
      <c r="B24" s="409" t="s">
        <v>113</v>
      </c>
      <c r="C24" s="410"/>
      <c r="D24" s="410"/>
      <c r="E24" s="410"/>
      <c r="F24" s="101">
        <v>1057</v>
      </c>
      <c r="G24" s="102">
        <v>1399</v>
      </c>
      <c r="H24" s="87" t="str">
        <f>IF(F2="Q1","",IF(F2="Q2","",_EPRCS_VU_80f37e65_6488_41c7_bdef_76a5935aa9d7))</f>
        <v/>
      </c>
      <c r="I24" s="87" t="str">
        <f>IF(F2="Q1","",IF(F2="Q2","",IF(F2="Q3","",_EPRCS_VU_1702103d_c961_425b_b7b5_11601a886688)))</f>
        <v/>
      </c>
      <c r="J24" s="86">
        <v>2456</v>
      </c>
      <c r="K24" s="360">
        <v>814</v>
      </c>
      <c r="L24" s="102">
        <v>1411</v>
      </c>
      <c r="M24" s="87">
        <v>1085</v>
      </c>
      <c r="N24" s="87">
        <v>1282</v>
      </c>
      <c r="O24" s="103">
        <v>4594</v>
      </c>
    </row>
    <row r="25" spans="1:15" s="77" customFormat="1" ht="26.25" customHeight="1">
      <c r="B25" s="411"/>
      <c r="C25" s="412"/>
      <c r="D25" s="412"/>
      <c r="E25" s="412"/>
      <c r="F25" s="100" t="s">
        <v>286</v>
      </c>
      <c r="G25" s="90" t="s">
        <v>275</v>
      </c>
      <c r="H25" s="91" t="str">
        <f>IF(F2="Q1","",IF(F2="Q2","",_EPRCS_VU_0897c455_b4ac_4353_bb77_6e2bb5440759))</f>
        <v/>
      </c>
      <c r="I25" s="91" t="str">
        <f>IF(F2="Q1","",IF(F2="Q2","",IF(F2="Q3","",_EPRCS_VU_64ad90f8_b374_49d5_a6ec_a403bc8290c4)))</f>
        <v/>
      </c>
      <c r="J25" s="104" t="s">
        <v>296</v>
      </c>
      <c r="K25" s="361" t="s">
        <v>239</v>
      </c>
      <c r="L25" s="90" t="s">
        <v>240</v>
      </c>
      <c r="M25" s="91" t="s">
        <v>241</v>
      </c>
      <c r="N25" s="91" t="s">
        <v>242</v>
      </c>
      <c r="O25" s="104" t="s">
        <v>243</v>
      </c>
    </row>
    <row r="26" spans="1:15" ht="26.25" customHeight="1">
      <c r="B26" s="399" t="s">
        <v>122</v>
      </c>
      <c r="C26" s="400"/>
      <c r="D26" s="400"/>
      <c r="E26" s="400"/>
      <c r="F26" s="367">
        <v>-1170</v>
      </c>
      <c r="G26" s="357">
        <v>-1253</v>
      </c>
      <c r="H26" s="117" t="str">
        <f>IF(F2="Q1","",IF(F2="Q2","",_EPRCS_VU_0010a0f8_a064_4722_9f8b_76c6ede8c123))</f>
        <v/>
      </c>
      <c r="I26" s="117" t="str">
        <f>IF(F2="Q1","",IF(F2="Q2","",IF(F2="Q3","",_EPRCS_VU_0ea2f348_699f_41d9_9184_689d1f3ba0c0)))</f>
        <v/>
      </c>
      <c r="J26" s="210">
        <v>-2423</v>
      </c>
      <c r="K26" s="362">
        <v>-1328</v>
      </c>
      <c r="L26" s="357">
        <v>-1004</v>
      </c>
      <c r="M26" s="117">
        <v>-891</v>
      </c>
      <c r="N26" s="117">
        <v>-1275</v>
      </c>
      <c r="O26" s="118">
        <v>-4500</v>
      </c>
    </row>
    <row r="27" spans="1:15" ht="26.25" customHeight="1">
      <c r="B27" s="397"/>
      <c r="C27" s="398"/>
      <c r="D27" s="398"/>
      <c r="E27" s="398"/>
      <c r="F27" s="105" t="s">
        <v>287</v>
      </c>
      <c r="G27" s="106" t="s">
        <v>276</v>
      </c>
      <c r="H27" s="94" t="str">
        <f>IF(F2="Q1","",IF(F2="Q2","",_EPRCS_VU_3a020444_a187_4c28_8643_215c5ce83848))</f>
        <v/>
      </c>
      <c r="I27" s="94" t="str">
        <f>IF(F2="Q1","",IF(F2="Q2","",IF(F2="Q3","",_EPRCS_VU_7c9f0bbf_e2db_4443_92cf_16932052cbde)))</f>
        <v/>
      </c>
      <c r="J27" s="107" t="s">
        <v>297</v>
      </c>
      <c r="K27" s="363" t="s">
        <v>244</v>
      </c>
      <c r="L27" s="106" t="s">
        <v>245</v>
      </c>
      <c r="M27" s="94" t="s">
        <v>246</v>
      </c>
      <c r="N27" s="94" t="s">
        <v>247</v>
      </c>
      <c r="O27" s="107" t="s">
        <v>217</v>
      </c>
    </row>
    <row r="28" spans="1:15" ht="26.25" customHeight="1">
      <c r="B28" s="399" t="s">
        <v>114</v>
      </c>
      <c r="C28" s="400"/>
      <c r="D28" s="400"/>
      <c r="E28" s="400"/>
      <c r="F28" s="101">
        <v>16945</v>
      </c>
      <c r="G28" s="102">
        <v>17133</v>
      </c>
      <c r="H28" s="87" t="str">
        <f>IF(F2="Q1","",IF(F2="Q2","",_EPRCS_VU_d9d21d3a_fd73_48be_b2ae_49efa93ee1fa))</f>
        <v/>
      </c>
      <c r="I28" s="87" t="str">
        <f>IF(F2="Q1","",IF(F2="Q2","",IF(F2="Q3","",_EPRCS_VU_9fac72f3_73cb_4414_99b1_28d2a06c65ec)))</f>
        <v/>
      </c>
      <c r="J28" s="103">
        <v>34079</v>
      </c>
      <c r="K28" s="360">
        <v>14536</v>
      </c>
      <c r="L28" s="102">
        <v>18531</v>
      </c>
      <c r="M28" s="87">
        <v>16652</v>
      </c>
      <c r="N28" s="87">
        <v>21183</v>
      </c>
      <c r="O28" s="103">
        <v>70904</v>
      </c>
    </row>
    <row r="29" spans="1:15" s="77" customFormat="1" ht="26.25" customHeight="1" thickBot="1">
      <c r="B29" s="401"/>
      <c r="C29" s="402"/>
      <c r="D29" s="402"/>
      <c r="E29" s="402"/>
      <c r="F29" s="108" t="s">
        <v>288</v>
      </c>
      <c r="G29" s="109" t="s">
        <v>277</v>
      </c>
      <c r="H29" s="98" t="str">
        <f>IF(F2="Q1","",IF(F2="Q2","",_EPRCS_VU_488e52f8_17f2_44a7_a124_99142fb3d46b))</f>
        <v/>
      </c>
      <c r="I29" s="98" t="str">
        <f>IF(F2="Q1","",IF(F2="Q2","",IF(F2="Q3","",_EPRCS_VU_0dbc92ab_14db_4b5e_821b_002d64cd1246)))</f>
        <v/>
      </c>
      <c r="J29" s="110" t="s">
        <v>298</v>
      </c>
      <c r="K29" s="364" t="s">
        <v>248</v>
      </c>
      <c r="L29" s="109" t="s">
        <v>249</v>
      </c>
      <c r="M29" s="98" t="s">
        <v>250</v>
      </c>
      <c r="N29" s="98" t="s">
        <v>251</v>
      </c>
      <c r="O29" s="110" t="s">
        <v>252</v>
      </c>
    </row>
    <row r="30" spans="1:15" ht="50.25" customHeight="1" thickBot="1">
      <c r="A30" s="111"/>
      <c r="B30" s="113" t="s">
        <v>119</v>
      </c>
      <c r="C30" s="111"/>
      <c r="D30" s="111"/>
      <c r="E30" s="111"/>
    </row>
    <row r="31" spans="1:15" ht="28.5" customHeight="1">
      <c r="A31" s="111"/>
      <c r="B31" s="405"/>
      <c r="C31" s="406"/>
      <c r="D31" s="406"/>
      <c r="E31" s="406"/>
      <c r="F31" s="80"/>
      <c r="G31" s="125"/>
      <c r="H31" s="78">
        <v>44682</v>
      </c>
      <c r="I31" s="125"/>
      <c r="J31" s="73"/>
      <c r="K31" s="80"/>
      <c r="L31" s="125"/>
      <c r="M31" s="78">
        <v>44317</v>
      </c>
      <c r="N31" s="125"/>
      <c r="O31" s="73"/>
    </row>
    <row r="32" spans="1:15" ht="28.5" customHeight="1" thickBot="1">
      <c r="A32" s="111"/>
      <c r="B32" s="407"/>
      <c r="C32" s="408"/>
      <c r="D32" s="408"/>
      <c r="E32" s="408"/>
      <c r="F32" s="81" t="s">
        <v>61</v>
      </c>
      <c r="G32" s="112" t="s">
        <v>62</v>
      </c>
      <c r="H32" s="128" t="s">
        <v>63</v>
      </c>
      <c r="I32" s="74" t="s">
        <v>64</v>
      </c>
      <c r="J32" s="79" t="s">
        <v>65</v>
      </c>
      <c r="K32" s="81" t="s">
        <v>61</v>
      </c>
      <c r="L32" s="112" t="s">
        <v>62</v>
      </c>
      <c r="M32" s="128" t="s">
        <v>63</v>
      </c>
      <c r="N32" s="74" t="s">
        <v>64</v>
      </c>
      <c r="O32" s="79" t="s">
        <v>65</v>
      </c>
    </row>
    <row r="33" spans="1:15" ht="33.75" customHeight="1">
      <c r="A33" s="111"/>
      <c r="B33" s="116" t="s">
        <v>118</v>
      </c>
      <c r="C33" s="114"/>
      <c r="D33" s="114"/>
      <c r="E33" s="175"/>
      <c r="F33" s="365">
        <v>17359</v>
      </c>
      <c r="G33" s="358">
        <v>17884</v>
      </c>
      <c r="H33" s="115" t="str">
        <f>IF(F2="Q1","",IF(F2="Q2","",_EPRCS_VU_31526103_e538_47c5_87a8_440d15f2eadb))</f>
        <v/>
      </c>
      <c r="I33" s="115" t="str">
        <f>IF(F2="Q1","",IF(F2="Q2","",IF(F2="Q3","",_EPRCS_VU_554be3ac_cb84_4aa9_9732_fc2687edc834)))</f>
        <v/>
      </c>
      <c r="J33" s="177">
        <v>35244</v>
      </c>
      <c r="K33" s="365">
        <v>15998</v>
      </c>
      <c r="L33" s="358">
        <v>17939</v>
      </c>
      <c r="M33" s="115">
        <v>17008</v>
      </c>
      <c r="N33" s="115">
        <v>20345</v>
      </c>
      <c r="O33" s="177">
        <v>71291</v>
      </c>
    </row>
    <row r="34" spans="1:15" ht="33.75" customHeight="1">
      <c r="A34" s="111"/>
      <c r="B34" s="116" t="s">
        <v>87</v>
      </c>
      <c r="C34" s="114"/>
      <c r="D34" s="114"/>
      <c r="E34" s="175"/>
      <c r="F34" s="365">
        <v>2930</v>
      </c>
      <c r="G34" s="358">
        <v>2930</v>
      </c>
      <c r="H34" s="115" t="str">
        <f>IF(F2="Q1","",IF(F2="Q2","",_EPRCS_VU_c4d5ef5f_9ae2_4d7f_82e6_ca5a77e53c61))</f>
        <v/>
      </c>
      <c r="I34" s="115" t="str">
        <f>IF(F2="Q1","",IF(F2="Q2","",IF(F2="Q3","",_EPRCS_VU_028e1737_426a_48a3_9409_9dfa2bb2e06f)))</f>
        <v/>
      </c>
      <c r="J34" s="177">
        <v>5861</v>
      </c>
      <c r="K34" s="365">
        <v>3228</v>
      </c>
      <c r="L34" s="358">
        <v>3426</v>
      </c>
      <c r="M34" s="115">
        <v>3340</v>
      </c>
      <c r="N34" s="115">
        <v>4235</v>
      </c>
      <c r="O34" s="177">
        <v>14230</v>
      </c>
    </row>
    <row r="35" spans="1:15" ht="33.75" customHeight="1">
      <c r="A35" s="111"/>
      <c r="B35" s="116" t="s">
        <v>176</v>
      </c>
      <c r="C35" s="114"/>
      <c r="D35" s="114"/>
      <c r="E35" s="175"/>
      <c r="F35" s="365">
        <v>7768</v>
      </c>
      <c r="G35" s="358">
        <v>7647</v>
      </c>
      <c r="H35" s="115" t="str">
        <f>IF(F2="Q1","",IF(F2="Q2","",_EPRCS_VU_a4f5cd80_9dc6_4344_b732_6ff8dc845002))</f>
        <v/>
      </c>
      <c r="I35" s="115" t="str">
        <f>IF(F2="Q1","",IF(F2="Q2","",IF(F2="Q3","",_EPRCS_VU_a790bfc9_2e9d_48fb_9aff_2c3211d6cf9d)))</f>
        <v/>
      </c>
      <c r="J35" s="177">
        <v>15416</v>
      </c>
      <c r="K35" s="365">
        <v>8161</v>
      </c>
      <c r="L35" s="358">
        <v>7512</v>
      </c>
      <c r="M35" s="115">
        <v>7776</v>
      </c>
      <c r="N35" s="115">
        <v>7974</v>
      </c>
      <c r="O35" s="177">
        <v>31424</v>
      </c>
    </row>
    <row r="36" spans="1:15" ht="33.75" customHeight="1">
      <c r="A36" s="111"/>
      <c r="B36" s="116" t="s">
        <v>173</v>
      </c>
      <c r="C36" s="114"/>
      <c r="D36" s="114"/>
      <c r="E36" s="175"/>
      <c r="F36" s="365">
        <v>3503</v>
      </c>
      <c r="G36" s="358">
        <v>4160</v>
      </c>
      <c r="H36" s="115" t="str">
        <f>IF(F2="Q1","",IF(F2="Q2","",_EPRCS_VU_c6bb8013_087d_4390_960b_03d07735ca1d))</f>
        <v/>
      </c>
      <c r="I36" s="115" t="str">
        <f>IF(F2="Q1","",IF(F2="Q2","",IF(F2="Q3","",_EPRCS_VU_51553e62_f137_43a9_b24d_dbda0d65f8ef)))</f>
        <v/>
      </c>
      <c r="J36" s="177">
        <v>7664</v>
      </c>
      <c r="K36" s="365">
        <v>3682</v>
      </c>
      <c r="L36" s="358">
        <v>3143</v>
      </c>
      <c r="M36" s="115">
        <v>2958</v>
      </c>
      <c r="N36" s="115">
        <v>3373</v>
      </c>
      <c r="O36" s="177">
        <v>13157</v>
      </c>
    </row>
    <row r="37" spans="1:15" ht="33.75" customHeight="1">
      <c r="A37" s="111"/>
      <c r="B37" s="116" t="s">
        <v>174</v>
      </c>
      <c r="C37" s="114"/>
      <c r="D37" s="114"/>
      <c r="E37" s="175"/>
      <c r="F37" s="365">
        <v>100</v>
      </c>
      <c r="G37" s="358">
        <v>171</v>
      </c>
      <c r="H37" s="115" t="str">
        <f>IF(F2="Q1","",IF(F2="Q2","",_EPRCS_VU_76be4101_300d_4ea1_ba50_ab4eef919b34))</f>
        <v/>
      </c>
      <c r="I37" s="115" t="str">
        <f>IF(F2="Q1","",IF(F2="Q2","",IF(F2="Q3","",_EPRCS_VU_8ca14454_9f82_41d9_b7ff_8f58f502b74c)))</f>
        <v/>
      </c>
      <c r="J37" s="177">
        <v>271</v>
      </c>
      <c r="K37" s="365">
        <v>132</v>
      </c>
      <c r="L37" s="358">
        <v>178</v>
      </c>
      <c r="M37" s="115">
        <v>63</v>
      </c>
      <c r="N37" s="115">
        <v>103</v>
      </c>
      <c r="O37" s="177">
        <v>477</v>
      </c>
    </row>
    <row r="38" spans="1:15" ht="33.75" customHeight="1">
      <c r="A38" s="111"/>
      <c r="B38" s="116" t="s">
        <v>97</v>
      </c>
      <c r="C38" s="114"/>
      <c r="D38" s="114"/>
      <c r="E38" s="175"/>
      <c r="F38" s="365">
        <v>847</v>
      </c>
      <c r="G38" s="358">
        <v>782</v>
      </c>
      <c r="H38" s="115" t="str">
        <f>IF(F2="Q1","",IF(F2="Q2","",_EPRCS_VU_db9c2e8f_74d9_4a16_b458_8478089da9a2))</f>
        <v/>
      </c>
      <c r="I38" s="115" t="str">
        <f>IF(F2="Q1","",IF(F2="Q2","",IF(F2="Q3","",_EPRCS_VU_8d86ca5b_ba47_4fc7_8d8d_b6813cf966a4)))</f>
        <v/>
      </c>
      <c r="J38" s="177">
        <v>1629</v>
      </c>
      <c r="K38" s="365">
        <v>969</v>
      </c>
      <c r="L38" s="358">
        <v>897</v>
      </c>
      <c r="M38" s="115">
        <v>858</v>
      </c>
      <c r="N38" s="115">
        <v>786</v>
      </c>
      <c r="O38" s="177">
        <v>3511</v>
      </c>
    </row>
    <row r="39" spans="1:15" ht="33.75" customHeight="1">
      <c r="A39" s="111"/>
      <c r="B39" s="116" t="s">
        <v>175</v>
      </c>
      <c r="C39" s="114"/>
      <c r="D39" s="114"/>
      <c r="E39" s="175"/>
      <c r="F39" s="365">
        <v>931</v>
      </c>
      <c r="G39" s="358">
        <v>984</v>
      </c>
      <c r="H39" s="115" t="str">
        <f>IF(F2="Q1","",IF(F2="Q2","",_EPRCS_VU_a0b5e65b_e0e4_4f3f_ab5c_1275d2c1063c))</f>
        <v/>
      </c>
      <c r="I39" s="115" t="str">
        <f>IF(F2="Q1","",IF(F2="Q2","",IF(F2="Q3","",_EPRCS_VU_37fe06b4_654c_46cf_86bd_6f96e294ff9f)))</f>
        <v/>
      </c>
      <c r="J39" s="177">
        <v>1916</v>
      </c>
      <c r="K39" s="365">
        <v>919</v>
      </c>
      <c r="L39" s="358">
        <v>988</v>
      </c>
      <c r="M39" s="115">
        <v>794</v>
      </c>
      <c r="N39" s="115">
        <v>823</v>
      </c>
      <c r="O39" s="177">
        <v>3525</v>
      </c>
    </row>
    <row r="40" spans="1:15" ht="33.75" customHeight="1" thickBot="1">
      <c r="A40" s="111"/>
      <c r="B40" s="119" t="s">
        <v>60</v>
      </c>
      <c r="C40" s="120"/>
      <c r="D40" s="120"/>
      <c r="E40" s="176"/>
      <c r="F40" s="366">
        <v>33442</v>
      </c>
      <c r="G40" s="359">
        <v>34563</v>
      </c>
      <c r="H40" s="121" t="str">
        <f>IF(F2="Q1","",IF(F2="Q2","",_EPRCS_VU_73bb09be_df91_44d4_98e7_55f3ad2046cf))</f>
        <v/>
      </c>
      <c r="I40" s="121" t="str">
        <f>IF(F2="Q1","",IF(F2="Q2","",IF(F2="Q3","",_EPRCS_VU_1adf52df_1098_408a_a97d_ce56a218b126)))</f>
        <v/>
      </c>
      <c r="J40" s="178">
        <v>68005</v>
      </c>
      <c r="K40" s="366">
        <v>33092</v>
      </c>
      <c r="L40" s="359">
        <v>34085</v>
      </c>
      <c r="M40" s="121">
        <v>32799</v>
      </c>
      <c r="N40" s="121">
        <v>37641</v>
      </c>
      <c r="O40" s="178">
        <v>137619</v>
      </c>
    </row>
    <row r="41" spans="1:15">
      <c r="B41" s="66" t="s">
        <v>96</v>
      </c>
    </row>
  </sheetData>
  <mergeCells count="14">
    <mergeCell ref="B31:E32"/>
    <mergeCell ref="B22:E23"/>
    <mergeCell ref="B18:E19"/>
    <mergeCell ref="B28:E29"/>
    <mergeCell ref="B26:E27"/>
    <mergeCell ref="B24:E25"/>
    <mergeCell ref="B3:E4"/>
    <mergeCell ref="B20:E21"/>
    <mergeCell ref="B15:E16"/>
    <mergeCell ref="B13:E14"/>
    <mergeCell ref="B11:E12"/>
    <mergeCell ref="B9:E10"/>
    <mergeCell ref="C7:E8"/>
    <mergeCell ref="C5:E6"/>
  </mergeCells>
  <phoneticPr fontId="2"/>
  <printOptions horizontalCentered="1" verticalCentered="1"/>
  <pageMargins left="0.23622047244094491" right="0.19685039370078741" top="0.27559055118110237" bottom="0.31496062992125984" header="0.51181102362204722" footer="0.15748031496062992"/>
  <pageSetup paperSize="9" scale="49" orientation="landscape" r:id="rId1"/>
  <headerFooter alignWithMargins="0"/>
  <ignoredErrors>
    <ignoredError sqref="J6:L6 J8:L8 J10:L10 J12:L12 J14:L14 J16:L16 J21:O21 J23:O23 J25:O25 J27:O27 J29:O29 M6:O6 M8:O8 M10:O10 M12:O12 M14:O14 M16:O16 F29:G29 F27:G27 F25:G25 F23:G23 F21:G21 F16:G16 F14:G14 F12:G12 F10:G10 F8:G8 F6:G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1"/>
  <sheetViews>
    <sheetView showGridLines="0" view="pageBreakPreview" zoomScale="74" zoomScaleNormal="60" zoomScaleSheetLayoutView="74"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11"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211" bestFit="1" customWidth="1"/>
    <col min="16" max="17" width="13.6328125" style="3" bestFit="1" customWidth="1"/>
    <col min="18" max="18" width="14.6328125" style="3" bestFit="1" customWidth="1"/>
    <col min="19" max="19" width="2.90625" style="3" customWidth="1"/>
    <col min="20" max="16384" width="9" style="3"/>
  </cols>
  <sheetData>
    <row r="1" spans="2:22" s="236" customFormat="1" ht="22.5">
      <c r="B1" s="2" t="s">
        <v>163</v>
      </c>
      <c r="C1" s="237"/>
      <c r="D1" s="237"/>
      <c r="E1" s="238"/>
      <c r="F1" s="238"/>
      <c r="G1" s="238"/>
      <c r="H1" s="239"/>
      <c r="I1" s="239"/>
      <c r="J1" s="239"/>
      <c r="K1" s="239"/>
      <c r="L1" s="239"/>
      <c r="M1" s="239"/>
      <c r="N1" s="239"/>
      <c r="O1" s="239"/>
      <c r="P1" s="239"/>
      <c r="Q1" s="239"/>
      <c r="R1" s="239"/>
      <c r="S1" s="4"/>
      <c r="T1" s="4"/>
      <c r="U1" s="4"/>
      <c r="V1" s="4"/>
    </row>
    <row r="2" spans="2:22" ht="20.25" customHeight="1">
      <c r="B2" s="311"/>
      <c r="C2" s="311"/>
      <c r="D2" s="311"/>
      <c r="E2" s="311"/>
      <c r="F2" s="311"/>
      <c r="G2" s="311"/>
      <c r="H2" s="311"/>
      <c r="I2" s="311"/>
      <c r="J2" s="311"/>
      <c r="K2" s="311"/>
      <c r="L2" s="311"/>
      <c r="M2" s="311"/>
      <c r="N2" s="311"/>
      <c r="O2" s="311"/>
      <c r="P2" s="312"/>
      <c r="Q2" s="313"/>
      <c r="R2" s="314" t="s">
        <v>193</v>
      </c>
    </row>
    <row r="3" spans="2:22" ht="23" thickBot="1">
      <c r="B3" s="212" t="s">
        <v>42</v>
      </c>
      <c r="C3" s="213"/>
      <c r="D3" s="214"/>
      <c r="E3" s="215"/>
      <c r="F3" s="216"/>
      <c r="G3" s="216"/>
      <c r="H3" s="217"/>
      <c r="I3" s="217"/>
      <c r="J3" s="218"/>
      <c r="K3" s="212" t="s">
        <v>43</v>
      </c>
      <c r="N3" s="219"/>
      <c r="O3" s="219"/>
      <c r="S3" s="218"/>
    </row>
    <row r="4" spans="2:22" s="221" customFormat="1" ht="23" thickBot="1">
      <c r="B4" s="413" t="s">
        <v>31</v>
      </c>
      <c r="C4" s="413"/>
      <c r="D4" s="413"/>
      <c r="E4" s="6" t="s">
        <v>142</v>
      </c>
      <c r="F4" s="6" t="s">
        <v>143</v>
      </c>
      <c r="G4" s="6" t="s">
        <v>169</v>
      </c>
      <c r="H4" s="6" t="s">
        <v>254</v>
      </c>
      <c r="I4" s="331" t="s">
        <v>265</v>
      </c>
      <c r="J4" s="220"/>
      <c r="K4" s="413" t="s">
        <v>31</v>
      </c>
      <c r="L4" s="413"/>
      <c r="M4" s="413"/>
      <c r="N4" s="6" t="s">
        <v>142</v>
      </c>
      <c r="O4" s="6" t="s">
        <v>143</v>
      </c>
      <c r="P4" s="6" t="s">
        <v>169</v>
      </c>
      <c r="Q4" s="6" t="s">
        <v>255</v>
      </c>
      <c r="R4" s="331" t="s">
        <v>265</v>
      </c>
      <c r="S4" s="220"/>
    </row>
    <row r="5" spans="2:22" ht="22.5">
      <c r="B5" s="3" t="s">
        <v>135</v>
      </c>
      <c r="E5" s="30">
        <v>192290</v>
      </c>
      <c r="F5" s="30">
        <v>93005</v>
      </c>
      <c r="G5" s="30">
        <v>249832</v>
      </c>
      <c r="H5" s="30">
        <v>81038</v>
      </c>
      <c r="I5" s="30">
        <v>42219</v>
      </c>
      <c r="J5" s="218"/>
      <c r="K5" s="3" t="s">
        <v>137</v>
      </c>
      <c r="N5" s="24">
        <v>105075</v>
      </c>
      <c r="O5" s="24">
        <v>109222</v>
      </c>
      <c r="P5" s="24">
        <v>102768</v>
      </c>
      <c r="Q5" s="24">
        <v>113999</v>
      </c>
      <c r="R5" s="24">
        <f>_EPRCS_VU_1ccb2f16_e8c8_48c1_a5a4_9e9516c9d006</f>
        <v>96561</v>
      </c>
      <c r="S5" s="218"/>
    </row>
    <row r="6" spans="2:22" ht="22.5">
      <c r="B6" s="3" t="s">
        <v>136</v>
      </c>
      <c r="E6" s="30"/>
      <c r="F6" s="30"/>
      <c r="G6" s="30"/>
      <c r="H6" s="30"/>
      <c r="I6" s="30"/>
      <c r="J6" s="218"/>
      <c r="K6" s="3" t="s">
        <v>183</v>
      </c>
      <c r="N6" s="24"/>
      <c r="O6" s="24"/>
      <c r="P6" s="24"/>
      <c r="Q6" s="24"/>
      <c r="R6" s="24"/>
      <c r="S6" s="218"/>
    </row>
    <row r="7" spans="2:22" ht="22.5">
      <c r="C7" s="3" t="s">
        <v>44</v>
      </c>
      <c r="E7" s="30">
        <v>169326</v>
      </c>
      <c r="F7" s="30">
        <v>65505</v>
      </c>
      <c r="G7" s="30">
        <v>60091</v>
      </c>
      <c r="H7" s="30">
        <v>53964</v>
      </c>
      <c r="I7" s="30">
        <v>26176</v>
      </c>
      <c r="J7" s="218"/>
      <c r="L7" s="3" t="s">
        <v>2</v>
      </c>
      <c r="N7" s="24">
        <v>13087</v>
      </c>
      <c r="O7" s="24">
        <v>15910</v>
      </c>
      <c r="P7" s="24">
        <v>10501</v>
      </c>
      <c r="Q7" s="24">
        <v>9379</v>
      </c>
      <c r="R7" s="24">
        <f>_EPRCS_VU_74f31317_70d1_43e7_a89c_74b9ef59c4f2</f>
        <v>8426</v>
      </c>
      <c r="S7" s="218"/>
    </row>
    <row r="8" spans="2:22" ht="22.5">
      <c r="C8" s="3" t="s">
        <v>178</v>
      </c>
      <c r="E8" s="30"/>
      <c r="F8" s="30"/>
      <c r="G8" s="30"/>
      <c r="H8" s="30"/>
      <c r="I8" s="30"/>
      <c r="J8" s="218"/>
      <c r="L8" s="3" t="s">
        <v>51</v>
      </c>
      <c r="N8" s="24"/>
      <c r="O8" s="24"/>
      <c r="P8" s="24"/>
      <c r="Q8" s="24"/>
      <c r="R8" s="24"/>
      <c r="S8" s="218"/>
    </row>
    <row r="9" spans="2:22" ht="22.5">
      <c r="C9" s="3" t="s">
        <v>45</v>
      </c>
      <c r="E9" s="24" t="s">
        <v>19</v>
      </c>
      <c r="F9" s="24" t="s">
        <v>19</v>
      </c>
      <c r="G9" s="24" t="s">
        <v>19</v>
      </c>
      <c r="H9" s="24" t="s">
        <v>19</v>
      </c>
      <c r="I9" s="24" t="s">
        <v>19</v>
      </c>
      <c r="J9" s="218"/>
      <c r="L9" s="3" t="s">
        <v>3</v>
      </c>
      <c r="N9" s="24">
        <v>5521</v>
      </c>
      <c r="O9" s="24">
        <v>5313</v>
      </c>
      <c r="P9" s="24">
        <v>4242</v>
      </c>
      <c r="Q9" s="24">
        <v>3743</v>
      </c>
      <c r="R9" s="24">
        <f>_EPRCS_VU_fdf02499_0612_4c92_8d59_4435b8e31353</f>
        <v>3177</v>
      </c>
      <c r="S9" s="218"/>
    </row>
    <row r="10" spans="2:22" ht="22.5">
      <c r="C10" s="3" t="s">
        <v>52</v>
      </c>
      <c r="E10" s="30"/>
      <c r="F10" s="30"/>
      <c r="G10" s="30"/>
      <c r="H10" s="30"/>
      <c r="I10" s="30"/>
      <c r="J10" s="218"/>
      <c r="L10" s="3" t="s">
        <v>53</v>
      </c>
      <c r="N10" s="24"/>
      <c r="O10" s="24"/>
      <c r="P10" s="24"/>
      <c r="Q10" s="24"/>
      <c r="R10" s="24"/>
      <c r="S10" s="218"/>
    </row>
    <row r="11" spans="2:22" ht="22.5">
      <c r="C11" s="3" t="s">
        <v>46</v>
      </c>
      <c r="E11" s="31">
        <v>19871</v>
      </c>
      <c r="F11" s="31">
        <v>20283</v>
      </c>
      <c r="G11" s="31">
        <v>26539</v>
      </c>
      <c r="H11" s="31">
        <v>18799</v>
      </c>
      <c r="I11" s="31">
        <v>12278</v>
      </c>
      <c r="J11" s="218"/>
      <c r="L11" s="3" t="s">
        <v>4</v>
      </c>
      <c r="N11" s="24">
        <v>10991</v>
      </c>
      <c r="O11" s="24">
        <v>10969</v>
      </c>
      <c r="P11" s="24">
        <v>11875</v>
      </c>
      <c r="Q11" s="24">
        <v>13982</v>
      </c>
      <c r="R11" s="24">
        <f>_EPRCS_VU_8a1cc46a_55fb_4f6d_9fcb_f5578a78ee60</f>
        <v>11216</v>
      </c>
      <c r="S11" s="218"/>
    </row>
    <row r="12" spans="2:22" ht="22.5">
      <c r="C12" s="3" t="s">
        <v>54</v>
      </c>
      <c r="E12" s="30"/>
      <c r="F12" s="30"/>
      <c r="G12" s="30"/>
      <c r="H12" s="30"/>
      <c r="I12" s="30"/>
      <c r="J12" s="218"/>
      <c r="L12" s="3" t="s">
        <v>55</v>
      </c>
      <c r="N12" s="24"/>
      <c r="O12" s="24"/>
      <c r="P12" s="24"/>
      <c r="Q12" s="24"/>
      <c r="R12" s="24"/>
      <c r="S12" s="218"/>
    </row>
    <row r="13" spans="2:22" ht="22.5">
      <c r="C13" s="3" t="s">
        <v>257</v>
      </c>
      <c r="E13" s="24" t="s">
        <v>19</v>
      </c>
      <c r="F13" s="24" t="s">
        <v>19</v>
      </c>
      <c r="G13" s="24" t="s">
        <v>19</v>
      </c>
      <c r="H13" s="24">
        <v>3399</v>
      </c>
      <c r="I13" s="24" t="s">
        <v>261</v>
      </c>
      <c r="J13" s="213"/>
      <c r="L13" s="3" t="s">
        <v>5</v>
      </c>
      <c r="N13" s="24" t="s">
        <v>100</v>
      </c>
      <c r="O13" s="24" t="s">
        <v>100</v>
      </c>
      <c r="P13" s="24" t="s">
        <v>100</v>
      </c>
      <c r="Q13" s="24" t="s">
        <v>100</v>
      </c>
      <c r="R13" s="24" t="s">
        <v>100</v>
      </c>
      <c r="S13" s="218"/>
    </row>
    <row r="14" spans="2:22" ht="22.5">
      <c r="C14" s="3" t="s">
        <v>256</v>
      </c>
      <c r="E14" s="24"/>
      <c r="F14" s="24"/>
      <c r="G14" s="24"/>
      <c r="H14" s="24"/>
      <c r="I14" s="24"/>
      <c r="J14" s="218"/>
      <c r="L14" s="3" t="s">
        <v>18</v>
      </c>
      <c r="N14" s="24"/>
      <c r="O14" s="24"/>
      <c r="P14" s="24"/>
      <c r="Q14" s="24"/>
      <c r="R14" s="24"/>
      <c r="S14" s="218"/>
    </row>
    <row r="15" spans="2:22" ht="22.5">
      <c r="C15" s="3" t="s">
        <v>16</v>
      </c>
      <c r="E15" s="24">
        <v>203</v>
      </c>
      <c r="F15" s="24">
        <v>208</v>
      </c>
      <c r="G15" s="24">
        <v>95</v>
      </c>
      <c r="H15" s="24">
        <v>109</v>
      </c>
      <c r="I15" s="24" t="s">
        <v>261</v>
      </c>
      <c r="J15" s="213"/>
      <c r="K15" s="222"/>
      <c r="L15" s="222" t="s">
        <v>260</v>
      </c>
      <c r="N15" s="24">
        <v>69862</v>
      </c>
      <c r="O15" s="24">
        <v>70772</v>
      </c>
      <c r="P15" s="24">
        <v>67730</v>
      </c>
      <c r="Q15" s="24">
        <v>80206</v>
      </c>
      <c r="R15" s="24">
        <f>_EPRCS_VU_e53b9a0a_f818_4c95_9187_b34dbd353494</f>
        <v>70212</v>
      </c>
      <c r="S15" s="218"/>
    </row>
    <row r="16" spans="2:22" ht="22.5">
      <c r="C16" s="3" t="s">
        <v>56</v>
      </c>
      <c r="E16" s="24"/>
      <c r="F16" s="24"/>
      <c r="G16" s="24"/>
      <c r="H16" s="24"/>
      <c r="I16" s="24"/>
      <c r="J16" s="218"/>
      <c r="K16" s="222"/>
      <c r="L16" s="222" t="s">
        <v>259</v>
      </c>
      <c r="N16" s="24"/>
      <c r="O16" s="24"/>
      <c r="P16" s="24"/>
      <c r="Q16" s="24"/>
      <c r="R16" s="24"/>
      <c r="S16" s="218"/>
    </row>
    <row r="17" spans="1:19" ht="22.5">
      <c r="C17" s="3" t="s">
        <v>17</v>
      </c>
      <c r="E17" s="24" t="s">
        <v>100</v>
      </c>
      <c r="F17" s="24" t="s">
        <v>100</v>
      </c>
      <c r="G17" s="24" t="s">
        <v>100</v>
      </c>
      <c r="H17" s="24" t="s">
        <v>100</v>
      </c>
      <c r="I17" s="24" t="s">
        <v>100</v>
      </c>
      <c r="J17" s="218"/>
      <c r="K17" s="222"/>
      <c r="L17" s="222" t="s">
        <v>32</v>
      </c>
      <c r="N17" s="26">
        <v>5612</v>
      </c>
      <c r="O17" s="26">
        <v>6256</v>
      </c>
      <c r="P17" s="26">
        <v>8418</v>
      </c>
      <c r="Q17" s="26">
        <v>6686</v>
      </c>
      <c r="R17" s="26">
        <f>_EPRCS_VU_5ed940d4_8de2_4b50_b968_4235a5ac4845</f>
        <v>3529</v>
      </c>
      <c r="S17" s="218"/>
    </row>
    <row r="18" spans="1:19" ht="36" customHeight="1">
      <c r="C18" s="3" t="s">
        <v>99</v>
      </c>
      <c r="E18" s="24"/>
      <c r="F18" s="24"/>
      <c r="G18" s="24"/>
      <c r="H18" s="24"/>
      <c r="I18" s="24"/>
      <c r="J18" s="218"/>
      <c r="L18" s="3" t="s">
        <v>134</v>
      </c>
      <c r="S18" s="218"/>
    </row>
    <row r="19" spans="1:19" ht="22.5">
      <c r="C19" s="3" t="s">
        <v>168</v>
      </c>
      <c r="E19" s="24" t="s">
        <v>19</v>
      </c>
      <c r="F19" s="24" t="s">
        <v>19</v>
      </c>
      <c r="G19" s="24">
        <v>160000</v>
      </c>
      <c r="H19" s="24" t="s">
        <v>19</v>
      </c>
      <c r="I19" s="24" t="s">
        <v>19</v>
      </c>
      <c r="J19" s="218"/>
      <c r="K19" s="223" t="s">
        <v>25</v>
      </c>
      <c r="L19" s="223"/>
      <c r="M19" s="223"/>
      <c r="N19" s="224">
        <v>7</v>
      </c>
      <c r="O19" s="224">
        <v>7</v>
      </c>
      <c r="P19" s="224">
        <v>7</v>
      </c>
      <c r="Q19" s="224">
        <v>0</v>
      </c>
      <c r="R19" s="224">
        <f>_EPRCS_VU_04284e86_7b42_4d81_a38e_fe3288cd1d84</f>
        <v>0</v>
      </c>
      <c r="S19" s="218"/>
    </row>
    <row r="20" spans="1:19" ht="45.65" customHeight="1">
      <c r="C20" s="414" t="s">
        <v>179</v>
      </c>
      <c r="D20" s="414"/>
      <c r="E20" s="24"/>
      <c r="F20" s="24"/>
      <c r="G20" s="24"/>
      <c r="H20" s="24"/>
      <c r="I20" s="24"/>
      <c r="J20" s="218"/>
      <c r="K20" s="222" t="s">
        <v>184</v>
      </c>
      <c r="L20" s="222"/>
      <c r="M20" s="222"/>
      <c r="N20" s="26"/>
      <c r="O20" s="26"/>
      <c r="P20" s="26"/>
      <c r="Q20" s="26"/>
      <c r="R20" s="26"/>
      <c r="S20" s="218"/>
    </row>
    <row r="21" spans="1:19" ht="22.5">
      <c r="C21" s="3" t="s">
        <v>47</v>
      </c>
      <c r="E21" s="24">
        <v>2901</v>
      </c>
      <c r="F21" s="24">
        <v>7020</v>
      </c>
      <c r="G21" s="24">
        <v>3118</v>
      </c>
      <c r="H21" s="24">
        <v>4784</v>
      </c>
      <c r="I21" s="24">
        <v>3783</v>
      </c>
      <c r="J21" s="218"/>
      <c r="K21" s="222"/>
      <c r="L21" s="222" t="s">
        <v>32</v>
      </c>
      <c r="N21" s="26">
        <v>7</v>
      </c>
      <c r="O21" s="26">
        <v>7</v>
      </c>
      <c r="P21" s="26">
        <v>7</v>
      </c>
      <c r="Q21" s="26">
        <v>0</v>
      </c>
      <c r="R21" s="26">
        <f>_EPRCS_VU_04284e86_7b42_4d81_a38e_fe3288cd1d84</f>
        <v>0</v>
      </c>
      <c r="S21" s="218"/>
    </row>
    <row r="22" spans="1:19" ht="22.5">
      <c r="C22" s="3" t="s">
        <v>57</v>
      </c>
      <c r="E22" s="24"/>
      <c r="F22" s="24"/>
      <c r="G22" s="24"/>
      <c r="H22" s="24"/>
      <c r="I22" s="24"/>
      <c r="J22" s="218"/>
      <c r="L22" s="222" t="s">
        <v>57</v>
      </c>
      <c r="N22" s="27"/>
      <c r="O22" s="27"/>
      <c r="P22" s="27"/>
      <c r="Q22" s="27"/>
      <c r="R22" s="27"/>
      <c r="S22" s="218"/>
    </row>
    <row r="23" spans="1:19" ht="22.5">
      <c r="C23" s="222" t="s">
        <v>48</v>
      </c>
      <c r="E23" s="24">
        <v>-12</v>
      </c>
      <c r="F23" s="24">
        <v>-12</v>
      </c>
      <c r="G23" s="24">
        <v>-13</v>
      </c>
      <c r="H23" s="24">
        <v>-20</v>
      </c>
      <c r="I23" s="24">
        <v>-20</v>
      </c>
      <c r="J23" s="218"/>
      <c r="K23" s="223" t="s">
        <v>6</v>
      </c>
      <c r="L23" s="223"/>
      <c r="M23" s="223"/>
      <c r="N23" s="24">
        <v>105083</v>
      </c>
      <c r="O23" s="24">
        <v>109230</v>
      </c>
      <c r="P23" s="24">
        <v>102776</v>
      </c>
      <c r="Q23" s="24">
        <v>113999</v>
      </c>
      <c r="R23" s="24">
        <f>_EPRCS_VU_7449c809_8c46_4847_a0f0_1ad8e85b9989</f>
        <v>96562</v>
      </c>
      <c r="S23" s="218"/>
    </row>
    <row r="24" spans="1:19" ht="23" thickBot="1">
      <c r="C24" s="222" t="s">
        <v>180</v>
      </c>
      <c r="E24" s="24"/>
      <c r="F24" s="24"/>
      <c r="G24" s="24"/>
      <c r="H24" s="24"/>
      <c r="I24" s="24"/>
      <c r="J24" s="218"/>
      <c r="K24" s="217" t="s">
        <v>58</v>
      </c>
      <c r="L24" s="217"/>
      <c r="M24" s="217"/>
      <c r="N24" s="25"/>
      <c r="O24" s="25"/>
      <c r="P24" s="25"/>
      <c r="Q24" s="25"/>
      <c r="R24" s="25"/>
      <c r="S24" s="218"/>
    </row>
    <row r="25" spans="1:19" ht="23" thickBot="1">
      <c r="C25" s="222"/>
      <c r="D25" s="222"/>
      <c r="E25" s="32"/>
      <c r="F25" s="32"/>
      <c r="G25" s="32"/>
      <c r="H25" s="32"/>
      <c r="I25" s="32"/>
      <c r="J25" s="218"/>
      <c r="S25" s="218"/>
    </row>
    <row r="26" spans="1:19" ht="22.5">
      <c r="B26" s="225" t="s">
        <v>138</v>
      </c>
      <c r="C26" s="225"/>
      <c r="D26" s="225"/>
      <c r="E26" s="33">
        <v>44218</v>
      </c>
      <c r="F26" s="33">
        <v>176512</v>
      </c>
      <c r="G26" s="33">
        <v>44306</v>
      </c>
      <c r="H26" s="33">
        <v>252960</v>
      </c>
      <c r="I26" s="33">
        <v>152147</v>
      </c>
      <c r="J26" s="218"/>
      <c r="K26" s="3" t="s">
        <v>7</v>
      </c>
      <c r="N26" s="24">
        <v>24480</v>
      </c>
      <c r="O26" s="24">
        <v>24679</v>
      </c>
      <c r="P26" s="24">
        <v>24884</v>
      </c>
      <c r="Q26" s="24">
        <v>25033</v>
      </c>
      <c r="R26" s="24">
        <f>_EPRCS_VU_74111f1a_e003_4bca_a515_27cb1c40b559</f>
        <v>25055</v>
      </c>
      <c r="S26" s="226"/>
    </row>
    <row r="27" spans="1:19" ht="22.5">
      <c r="A27" s="222"/>
      <c r="B27" s="222"/>
      <c r="C27" s="3" t="s">
        <v>139</v>
      </c>
      <c r="E27" s="30">
        <v>39863</v>
      </c>
      <c r="F27" s="30">
        <v>40889</v>
      </c>
      <c r="G27" s="30">
        <v>38895</v>
      </c>
      <c r="H27" s="30">
        <v>36894</v>
      </c>
      <c r="I27" s="30">
        <v>36112</v>
      </c>
      <c r="J27" s="218"/>
      <c r="K27" s="3" t="s">
        <v>185</v>
      </c>
      <c r="N27" s="24"/>
      <c r="O27" s="24"/>
      <c r="P27" s="24"/>
      <c r="Q27" s="24"/>
      <c r="R27" s="24"/>
      <c r="S27" s="227"/>
    </row>
    <row r="28" spans="1:19" ht="22.5">
      <c r="D28" s="3" t="s">
        <v>29</v>
      </c>
      <c r="E28" s="30">
        <v>26057</v>
      </c>
      <c r="F28" s="30">
        <v>26057</v>
      </c>
      <c r="G28" s="30">
        <v>26057</v>
      </c>
      <c r="H28" s="30">
        <v>26057</v>
      </c>
      <c r="I28" s="30">
        <v>26057</v>
      </c>
      <c r="J28" s="218"/>
      <c r="K28" s="3" t="s">
        <v>13</v>
      </c>
      <c r="N28" s="24">
        <v>7831</v>
      </c>
      <c r="O28" s="24">
        <v>8030</v>
      </c>
      <c r="P28" s="24">
        <v>8235</v>
      </c>
      <c r="Q28" s="24">
        <v>8384</v>
      </c>
      <c r="R28" s="24">
        <f>_EPRCS_VU_3cf02499_c967_4ae0_b08d_ba8904788a02</f>
        <v>8406</v>
      </c>
      <c r="S28" s="227"/>
    </row>
    <row r="29" spans="1:19" ht="22.5">
      <c r="D29" s="3" t="s">
        <v>93</v>
      </c>
      <c r="E29" s="30"/>
      <c r="F29" s="30"/>
      <c r="G29" s="30"/>
      <c r="H29" s="30"/>
      <c r="I29" s="30"/>
      <c r="J29" s="226"/>
      <c r="K29" s="3" t="s">
        <v>186</v>
      </c>
      <c r="N29" s="24"/>
      <c r="O29" s="24"/>
      <c r="P29" s="24"/>
      <c r="Q29" s="24"/>
      <c r="R29" s="24"/>
      <c r="S29" s="227"/>
    </row>
    <row r="30" spans="1:19" ht="22.5">
      <c r="D30" s="3" t="s">
        <v>49</v>
      </c>
      <c r="E30" s="24">
        <v>10619</v>
      </c>
      <c r="F30" s="24">
        <v>11088</v>
      </c>
      <c r="G30" s="24">
        <v>10367</v>
      </c>
      <c r="H30" s="24">
        <v>9487</v>
      </c>
      <c r="I30" s="24">
        <v>9060</v>
      </c>
      <c r="J30" s="227"/>
      <c r="K30" s="3" t="s">
        <v>14</v>
      </c>
      <c r="N30" s="24">
        <v>99450</v>
      </c>
      <c r="O30" s="24">
        <v>128580</v>
      </c>
      <c r="P30" s="24">
        <v>158846</v>
      </c>
      <c r="Q30" s="24">
        <v>188924</v>
      </c>
      <c r="R30" s="24">
        <f>_EPRCS_VU_a5412a94_6837_40b6_ba7f_6d5e3aea8f8d</f>
        <v>65659</v>
      </c>
      <c r="S30" s="227"/>
    </row>
    <row r="31" spans="1:19" ht="22.5">
      <c r="D31" s="228" t="s">
        <v>181</v>
      </c>
      <c r="E31" s="30"/>
      <c r="F31" s="30"/>
      <c r="G31" s="30"/>
      <c r="H31" s="30"/>
      <c r="I31" s="30"/>
      <c r="J31" s="227"/>
      <c r="K31" s="3" t="s">
        <v>187</v>
      </c>
      <c r="N31" s="24"/>
      <c r="O31" s="24"/>
      <c r="P31" s="24"/>
      <c r="Q31" s="24"/>
      <c r="R31" s="24"/>
      <c r="S31" s="227"/>
    </row>
    <row r="32" spans="1:19" ht="22.5">
      <c r="D32" s="228" t="s">
        <v>107</v>
      </c>
      <c r="E32" s="24">
        <v>15</v>
      </c>
      <c r="F32" s="24" t="s">
        <v>19</v>
      </c>
      <c r="G32" s="24" t="s">
        <v>19</v>
      </c>
      <c r="H32" s="24" t="s">
        <v>19</v>
      </c>
      <c r="I32" s="24" t="s">
        <v>19</v>
      </c>
      <c r="J32" s="227"/>
      <c r="K32" s="222" t="s">
        <v>141</v>
      </c>
      <c r="L32" s="222"/>
      <c r="M32" s="222"/>
      <c r="N32" s="26">
        <v>-599</v>
      </c>
      <c r="O32" s="26">
        <v>-1211</v>
      </c>
      <c r="P32" s="26">
        <v>-759</v>
      </c>
      <c r="Q32" s="26">
        <v>-2461</v>
      </c>
      <c r="R32" s="26">
        <f>_EPRCS_VU_1f469177_df18_4758_945d_b0e0a8d37f39</f>
        <v>-1429</v>
      </c>
      <c r="S32" s="227"/>
    </row>
    <row r="33" spans="1:19" ht="23" thickBot="1">
      <c r="D33" s="228" t="s">
        <v>108</v>
      </c>
      <c r="E33" s="30"/>
      <c r="F33" s="30"/>
      <c r="G33" s="24"/>
      <c r="H33" s="24"/>
      <c r="I33" s="24"/>
      <c r="J33" s="227"/>
      <c r="K33" s="217" t="s">
        <v>188</v>
      </c>
      <c r="L33" s="217"/>
      <c r="M33" s="217"/>
      <c r="N33" s="25"/>
      <c r="O33" s="25"/>
      <c r="P33" s="25"/>
      <c r="Q33" s="25"/>
      <c r="R33" s="25"/>
      <c r="S33" s="227"/>
    </row>
    <row r="34" spans="1:19" ht="22.5">
      <c r="D34" s="3" t="s">
        <v>30</v>
      </c>
      <c r="E34" s="30">
        <v>3171</v>
      </c>
      <c r="F34" s="30">
        <v>3743</v>
      </c>
      <c r="G34" s="30">
        <v>2471</v>
      </c>
      <c r="H34" s="30">
        <v>1349</v>
      </c>
      <c r="I34" s="30">
        <v>994</v>
      </c>
      <c r="J34" s="227"/>
      <c r="K34" s="222" t="s">
        <v>22</v>
      </c>
      <c r="L34" s="222"/>
      <c r="M34" s="222"/>
      <c r="N34" s="24">
        <v>131162</v>
      </c>
      <c r="O34" s="24">
        <v>160078</v>
      </c>
      <c r="P34" s="24">
        <v>191206</v>
      </c>
      <c r="Q34" s="24">
        <v>219881</v>
      </c>
      <c r="R34" s="24">
        <f>_EPRCS_VU_774afc03_95e3_4a03_994a_3382e8ad57b2</f>
        <v>97692</v>
      </c>
      <c r="S34" s="227"/>
    </row>
    <row r="35" spans="1:19" ht="22.5">
      <c r="D35" s="3" t="s">
        <v>182</v>
      </c>
      <c r="E35" s="30"/>
      <c r="F35" s="30"/>
      <c r="G35" s="30"/>
      <c r="H35" s="30"/>
      <c r="I35" s="30"/>
      <c r="J35" s="227"/>
      <c r="K35" s="222" t="s">
        <v>189</v>
      </c>
      <c r="L35" s="222"/>
      <c r="M35" s="222"/>
      <c r="N35" s="24"/>
      <c r="O35" s="24"/>
      <c r="P35" s="24"/>
      <c r="Q35" s="24"/>
      <c r="R35" s="24"/>
      <c r="S35" s="227"/>
    </row>
    <row r="36" spans="1:19" ht="22.5">
      <c r="C36" s="3" t="s">
        <v>140</v>
      </c>
      <c r="E36" s="30">
        <v>4</v>
      </c>
      <c r="F36" s="30">
        <v>2</v>
      </c>
      <c r="G36" s="30">
        <v>1</v>
      </c>
      <c r="H36" s="30">
        <v>0</v>
      </c>
      <c r="I36" s="30">
        <v>2</v>
      </c>
      <c r="J36" s="227"/>
      <c r="K36" s="222" t="s">
        <v>26</v>
      </c>
      <c r="L36" s="222"/>
      <c r="M36" s="222"/>
      <c r="N36" s="24" t="s">
        <v>19</v>
      </c>
      <c r="O36" s="24" t="s">
        <v>19</v>
      </c>
      <c r="P36" s="24" t="s">
        <v>19</v>
      </c>
      <c r="Q36" s="24" t="s">
        <v>19</v>
      </c>
      <c r="R36" s="24" t="s">
        <v>19</v>
      </c>
      <c r="S36" s="227"/>
    </row>
    <row r="37" spans="1:19" ht="22.5">
      <c r="C37" s="3" t="s">
        <v>21</v>
      </c>
      <c r="E37" s="30">
        <v>4350</v>
      </c>
      <c r="F37" s="30">
        <v>135620</v>
      </c>
      <c r="G37" s="30">
        <v>5409</v>
      </c>
      <c r="H37" s="30">
        <v>216065</v>
      </c>
      <c r="I37" s="30">
        <v>116032</v>
      </c>
      <c r="J37" s="227"/>
      <c r="K37" s="222" t="s">
        <v>27</v>
      </c>
      <c r="L37" s="222"/>
      <c r="M37" s="222"/>
      <c r="N37" s="24"/>
      <c r="O37" s="24"/>
      <c r="P37" s="24"/>
      <c r="Q37" s="24"/>
      <c r="R37" s="24"/>
      <c r="S37" s="227"/>
    </row>
    <row r="38" spans="1:19" ht="22.5">
      <c r="C38" s="3" t="s">
        <v>0</v>
      </c>
      <c r="E38" s="32"/>
      <c r="F38" s="32"/>
      <c r="G38" s="32"/>
      <c r="H38" s="32"/>
      <c r="I38" s="32"/>
      <c r="J38" s="227"/>
      <c r="K38" s="222" t="s">
        <v>28</v>
      </c>
      <c r="L38" s="222"/>
      <c r="M38" s="222"/>
      <c r="N38" s="24">
        <v>262</v>
      </c>
      <c r="O38" s="24">
        <v>209</v>
      </c>
      <c r="P38" s="24">
        <v>156</v>
      </c>
      <c r="Q38" s="24">
        <v>118</v>
      </c>
      <c r="R38" s="24">
        <f>_EPRCS_VU_bb2d0a06_345b_429e_a50c_28ecbdc89f1f</f>
        <v>112</v>
      </c>
      <c r="S38" s="227"/>
    </row>
    <row r="39" spans="1:19" ht="23" thickBot="1">
      <c r="D39" s="3" t="s">
        <v>130</v>
      </c>
      <c r="E39" s="26" t="s">
        <v>19</v>
      </c>
      <c r="F39" s="26">
        <v>130000</v>
      </c>
      <c r="G39" s="26" t="s">
        <v>19</v>
      </c>
      <c r="H39" s="26">
        <v>210000</v>
      </c>
      <c r="I39" s="26">
        <v>110000</v>
      </c>
      <c r="J39" s="227"/>
      <c r="K39" s="217" t="s">
        <v>190</v>
      </c>
      <c r="L39" s="217"/>
      <c r="M39" s="217"/>
      <c r="N39" s="25"/>
      <c r="O39" s="25"/>
      <c r="P39" s="25"/>
      <c r="Q39" s="25"/>
      <c r="R39" s="25"/>
      <c r="S39" s="227"/>
    </row>
    <row r="40" spans="1:19" ht="38">
      <c r="D40" s="229" t="s">
        <v>132</v>
      </c>
      <c r="E40" s="32"/>
      <c r="F40" s="32"/>
      <c r="G40" s="32"/>
      <c r="H40" s="32"/>
      <c r="I40" s="32"/>
      <c r="J40" s="227"/>
      <c r="K40" s="222" t="s">
        <v>23</v>
      </c>
      <c r="L40" s="222"/>
      <c r="M40" s="222"/>
      <c r="N40" s="24">
        <v>131425</v>
      </c>
      <c r="O40" s="24">
        <v>160288</v>
      </c>
      <c r="P40" s="24">
        <v>191362</v>
      </c>
      <c r="Q40" s="24">
        <v>219999</v>
      </c>
      <c r="R40" s="24">
        <f>_EPRCS_VU_884bf363_7abe_4b29_a365_4b49edb51941</f>
        <v>97804</v>
      </c>
      <c r="S40" s="227"/>
    </row>
    <row r="41" spans="1:19" ht="23" thickBot="1">
      <c r="D41" s="3" t="s">
        <v>131</v>
      </c>
      <c r="E41" s="32">
        <v>4350</v>
      </c>
      <c r="F41" s="32">
        <v>5620</v>
      </c>
      <c r="G41" s="32">
        <v>5409</v>
      </c>
      <c r="H41" s="32">
        <v>6065</v>
      </c>
      <c r="I41" s="32">
        <v>6032</v>
      </c>
      <c r="J41" s="227"/>
      <c r="K41" s="217" t="s">
        <v>20</v>
      </c>
      <c r="L41" s="217"/>
      <c r="M41" s="217"/>
      <c r="N41" s="25"/>
      <c r="O41" s="25"/>
      <c r="P41" s="25"/>
      <c r="Q41" s="25"/>
      <c r="R41" s="25"/>
      <c r="S41" s="227"/>
    </row>
    <row r="42" spans="1:19" ht="22.5">
      <c r="D42" s="3" t="s">
        <v>133</v>
      </c>
      <c r="E42" s="32"/>
      <c r="F42" s="32"/>
      <c r="G42" s="32"/>
      <c r="H42" s="32"/>
      <c r="I42" s="32"/>
      <c r="J42" s="227"/>
      <c r="K42" s="225" t="s">
        <v>24</v>
      </c>
      <c r="L42" s="225"/>
      <c r="M42" s="225"/>
      <c r="N42" s="24">
        <v>236509</v>
      </c>
      <c r="O42" s="24">
        <v>269518</v>
      </c>
      <c r="P42" s="24">
        <v>294139</v>
      </c>
      <c r="Q42" s="24">
        <v>333999</v>
      </c>
      <c r="R42" s="24">
        <f>_EPRCS_VU_11c38d6c_1caa_49f5_afc0_a2316e6c8fd0</f>
        <v>194366</v>
      </c>
      <c r="S42" s="227"/>
    </row>
    <row r="43" spans="1:19" ht="23" thickBot="1">
      <c r="E43" s="32"/>
      <c r="F43" s="32"/>
      <c r="G43" s="32"/>
      <c r="H43" s="32"/>
      <c r="I43" s="32"/>
      <c r="J43" s="227"/>
      <c r="K43" s="217" t="s">
        <v>59</v>
      </c>
      <c r="L43" s="217"/>
      <c r="M43" s="217"/>
      <c r="N43" s="230"/>
      <c r="O43" s="25"/>
      <c r="P43" s="25"/>
      <c r="Q43" s="25"/>
      <c r="R43" s="25"/>
      <c r="S43" s="226"/>
    </row>
    <row r="44" spans="1:19" ht="22.5">
      <c r="B44" s="225" t="s">
        <v>50</v>
      </c>
      <c r="C44" s="225"/>
      <c r="D44" s="225"/>
      <c r="E44" s="33">
        <v>236509</v>
      </c>
      <c r="F44" s="33">
        <v>269518</v>
      </c>
      <c r="G44" s="33">
        <v>294139</v>
      </c>
      <c r="H44" s="33">
        <v>333999</v>
      </c>
      <c r="I44" s="33">
        <v>194366</v>
      </c>
      <c r="J44" s="227"/>
      <c r="K44" s="222"/>
      <c r="L44" s="222"/>
      <c r="M44" s="222"/>
      <c r="N44" s="26"/>
      <c r="O44" s="232"/>
      <c r="P44" s="26"/>
      <c r="Q44" s="26"/>
      <c r="R44" s="26"/>
      <c r="S44" s="226"/>
    </row>
    <row r="45" spans="1:19" s="231" customFormat="1" ht="23" thickBot="1">
      <c r="A45" s="3"/>
      <c r="B45" s="217" t="s">
        <v>1</v>
      </c>
      <c r="C45" s="217"/>
      <c r="D45" s="217"/>
      <c r="E45" s="9"/>
      <c r="F45" s="9"/>
      <c r="G45" s="9"/>
      <c r="H45" s="9"/>
      <c r="I45" s="9"/>
      <c r="J45" s="227"/>
      <c r="K45" s="222"/>
      <c r="L45" s="222"/>
      <c r="M45" s="222"/>
      <c r="N45" s="4"/>
      <c r="O45" s="222"/>
      <c r="P45" s="8"/>
      <c r="Q45" s="8"/>
      <c r="R45" s="8"/>
      <c r="S45" s="226"/>
    </row>
    <row r="46" spans="1:19" s="231" customFormat="1" ht="22.5">
      <c r="A46" s="3"/>
      <c r="B46" s="231" t="s">
        <v>95</v>
      </c>
      <c r="C46" s="222"/>
      <c r="D46" s="222"/>
      <c r="E46" s="8"/>
      <c r="F46" s="8"/>
      <c r="G46" s="8"/>
      <c r="H46" s="8"/>
      <c r="I46" s="8"/>
      <c r="J46" s="227"/>
      <c r="K46" s="3"/>
      <c r="L46" s="3"/>
      <c r="M46" s="3"/>
      <c r="N46" s="211"/>
      <c r="O46" s="211"/>
      <c r="P46" s="3"/>
      <c r="Q46" s="3"/>
      <c r="R46" s="3"/>
    </row>
    <row r="47" spans="1:19" s="231" customFormat="1" ht="19.5" customHeight="1">
      <c r="A47" s="3"/>
      <c r="B47" s="231" t="s">
        <v>126</v>
      </c>
      <c r="C47" s="231" t="s">
        <v>258</v>
      </c>
      <c r="J47" s="227"/>
      <c r="K47" s="3"/>
      <c r="L47" s="3"/>
      <c r="M47" s="3"/>
      <c r="N47" s="211"/>
      <c r="O47" s="211"/>
      <c r="P47" s="3"/>
      <c r="Q47" s="3"/>
      <c r="R47" s="3"/>
      <c r="S47" s="3"/>
    </row>
    <row r="48" spans="1:19" ht="13.9" customHeight="1">
      <c r="A48" s="233"/>
      <c r="B48" s="234"/>
      <c r="S48" s="213"/>
    </row>
    <row r="49" spans="1:10" ht="16.5" customHeight="1">
      <c r="A49" s="233"/>
      <c r="B49" s="222"/>
    </row>
    <row r="50" spans="1:10" ht="20.149999999999999" customHeight="1">
      <c r="B50" s="222"/>
      <c r="J50" s="235"/>
    </row>
    <row r="51" spans="1:10" ht="20.149999999999999" customHeight="1">
      <c r="J51" s="213"/>
    </row>
  </sheetData>
  <mergeCells count="3">
    <mergeCell ref="B4:D4"/>
    <mergeCell ref="K4:M4"/>
    <mergeCell ref="C20:D20"/>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65" zoomScaleNormal="75" zoomScaleSheetLayoutView="65" workbookViewId="0"/>
  </sheetViews>
  <sheetFormatPr defaultColWidth="8.6328125" defaultRowHeight="20.149999999999999" customHeight="1"/>
  <cols>
    <col min="1" max="1" width="2.6328125" style="14" customWidth="1"/>
    <col min="2" max="2" width="3.6328125" style="15" customWidth="1"/>
    <col min="3" max="3" width="42.90625" style="14" customWidth="1"/>
    <col min="4" max="4" width="82.90625" style="14" customWidth="1"/>
    <col min="5" max="5" width="6" style="14" customWidth="1"/>
    <col min="6" max="10" width="11.6328125" style="14" customWidth="1"/>
    <col min="11" max="11" width="3.6328125" style="14" customWidth="1"/>
    <col min="12" max="16384" width="8.6328125" style="14"/>
  </cols>
  <sheetData>
    <row r="1" spans="1:12" ht="21.75" customHeight="1">
      <c r="A1" s="10"/>
      <c r="B1" s="11" t="s">
        <v>164</v>
      </c>
      <c r="C1" s="12"/>
      <c r="D1" s="12"/>
      <c r="E1" s="13"/>
      <c r="F1" s="13"/>
      <c r="G1" s="13"/>
      <c r="H1" s="13"/>
      <c r="I1" s="13"/>
      <c r="J1" s="13"/>
      <c r="K1" s="13"/>
      <c r="L1" s="13"/>
    </row>
    <row r="2" spans="1:12" ht="20.25" customHeight="1"/>
    <row r="3" spans="1:12" ht="20.149999999999999" customHeight="1">
      <c r="B3" s="15" t="s">
        <v>68</v>
      </c>
      <c r="C3" s="14" t="s">
        <v>8</v>
      </c>
      <c r="D3" s="14" t="s">
        <v>9</v>
      </c>
      <c r="E3" s="14" t="s">
        <v>33</v>
      </c>
      <c r="L3" s="16" t="s">
        <v>34</v>
      </c>
    </row>
    <row r="4" spans="1:12" ht="20.149999999999999" customHeight="1">
      <c r="C4" s="14" t="s">
        <v>69</v>
      </c>
      <c r="D4" s="14" t="s">
        <v>70</v>
      </c>
      <c r="E4" s="14" t="s">
        <v>35</v>
      </c>
    </row>
    <row r="6" spans="1:12" ht="20.149999999999999" customHeight="1">
      <c r="B6" s="15" t="s">
        <v>71</v>
      </c>
      <c r="C6" s="14" t="s">
        <v>10</v>
      </c>
      <c r="D6" s="14" t="s">
        <v>36</v>
      </c>
    </row>
    <row r="7" spans="1:12" ht="22.5">
      <c r="C7" s="14" t="s">
        <v>72</v>
      </c>
      <c r="D7" s="14" t="s">
        <v>73</v>
      </c>
    </row>
    <row r="9" spans="1:12" ht="20.149999999999999" customHeight="1">
      <c r="B9" s="15" t="s">
        <v>74</v>
      </c>
      <c r="C9" s="14" t="s">
        <v>7</v>
      </c>
      <c r="D9" s="208">
        <f>'5.BS'!R26</f>
        <v>25055</v>
      </c>
    </row>
    <row r="10" spans="1:12" ht="20.149999999999999" customHeight="1">
      <c r="C10" s="14" t="s">
        <v>75</v>
      </c>
      <c r="D10" s="67"/>
    </row>
    <row r="12" spans="1:12" ht="20.149999999999999" customHeight="1">
      <c r="B12" s="15" t="s">
        <v>76</v>
      </c>
      <c r="C12" s="14" t="s">
        <v>98</v>
      </c>
      <c r="D12" s="14" t="s">
        <v>171</v>
      </c>
    </row>
    <row r="13" spans="1:12" ht="20.149999999999999" customHeight="1">
      <c r="C13" s="14" t="s">
        <v>191</v>
      </c>
      <c r="D13" s="14" t="s">
        <v>172</v>
      </c>
    </row>
    <row r="15" spans="1:12" ht="20.149999999999999" customHeight="1">
      <c r="B15" s="15" t="s">
        <v>77</v>
      </c>
      <c r="C15" s="14" t="s">
        <v>11</v>
      </c>
      <c r="D15" s="209">
        <f>'3.Summary'!E22</f>
        <v>2387</v>
      </c>
      <c r="E15" s="14" t="s">
        <v>37</v>
      </c>
    </row>
    <row r="16" spans="1:12" ht="20.149999999999999" customHeight="1">
      <c r="C16" s="14" t="s">
        <v>78</v>
      </c>
      <c r="D16" s="23"/>
    </row>
    <row r="18" spans="2:6" ht="20.149999999999999" customHeight="1">
      <c r="B18" s="15" t="s">
        <v>79</v>
      </c>
      <c r="C18" s="14" t="s">
        <v>12</v>
      </c>
      <c r="D18" s="17" t="s">
        <v>105</v>
      </c>
    </row>
    <row r="19" spans="2:6" ht="20.149999999999999" customHeight="1">
      <c r="C19" s="14" t="s">
        <v>80</v>
      </c>
      <c r="D19" s="17" t="s">
        <v>106</v>
      </c>
    </row>
    <row r="20" spans="2:6" ht="22.5">
      <c r="D20" s="17" t="s">
        <v>109</v>
      </c>
      <c r="E20" s="15"/>
    </row>
    <row r="21" spans="2:6" ht="21.75" customHeight="1">
      <c r="D21" s="17" t="s">
        <v>110</v>
      </c>
    </row>
    <row r="22" spans="2:6" ht="20.149999999999999" customHeight="1">
      <c r="D22" s="14" t="s">
        <v>111</v>
      </c>
    </row>
    <row r="24" spans="2:6" ht="20.149999999999999" customHeight="1">
      <c r="B24" s="15" t="s">
        <v>68</v>
      </c>
      <c r="C24" s="14" t="s">
        <v>15</v>
      </c>
      <c r="D24" s="14" t="s">
        <v>38</v>
      </c>
    </row>
    <row r="25" spans="2:6" ht="20.149999999999999" customHeight="1">
      <c r="C25" s="14" t="s">
        <v>81</v>
      </c>
      <c r="D25" s="14" t="s">
        <v>82</v>
      </c>
    </row>
    <row r="26" spans="2:6" ht="20.149999999999999" customHeight="1">
      <c r="B26" s="14"/>
    </row>
    <row r="27" spans="2:6" ht="20.149999999999999" customHeight="1">
      <c r="D27" s="15" t="s">
        <v>264</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4"/>
    </row>
    <row r="50" spans="2:2" ht="20.149999999999999" customHeight="1">
      <c r="B50" s="14"/>
    </row>
    <row r="51" spans="2:2" ht="20.149999999999999" customHeight="1">
      <c r="B51" s="14"/>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fy22q2-supplemental</dc:title>
  <dc:subject>2022年5月期(FY22)第2四半期　業績補足資料</dc:subject>
  <dc:creator>Oracle Corporation</dc:creator>
  <cp:keywords>2nd Quarter, Fiscal Year ending May 2022 (FY22) Business Result, Supplemental Information and Historical Facts, 2021/12/21,日本オラクル株式会社,Oracle Corporation Japan (TSE 4716)</cp:keywords>
  <dc:description/>
  <cp:lastModifiedBy>Miyuki Moriyama</cp:lastModifiedBy>
  <cp:lastPrinted>2021-12-16T05:18:43Z</cp:lastPrinted>
  <dcterms:created xsi:type="dcterms:W3CDTF">2009-12-21T07:58:45Z</dcterms:created>
  <dcterms:modified xsi:type="dcterms:W3CDTF">2024-10-28T05:53:50Z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