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https://oracle-my.sharepoint.com/personal/hiromi_otsuka_oracle_com/Documents/IR_Kessan/FY26Q2/tanshin/"/>
    </mc:Choice>
  </mc:AlternateContent>
  <xr:revisionPtr revIDLastSave="5" documentId="8_{32CF2297-D2BC-408A-8B34-4B7B1C5902C4}" xr6:coauthVersionLast="47" xr6:coauthVersionMax="47" xr10:uidLastSave="{2E417AB2-8B82-4AB7-A73A-F20DA515FE73}"/>
  <workbookProtection workbookAlgorithmName="SHA-512" workbookHashValue="6bQoQZoyrAXzJ+FKQboLBJC2IbsTWB49FX/zh1tf+cLUX2W6o2LS0ef/iay8vT4pmJLMRf6WB9ep1poDv1xFlw==" workbookSaltValue="35n/H36EesOBhUl+wPIlnQ==" workbookSpinCount="100000" lockStructure="1"/>
  <bookViews>
    <workbookView xWindow="-98" yWindow="-98" windowWidth="19396" windowHeight="11475" tabRatio="784" xr2:uid="{00000000-000D-0000-FFFF-FFFF00000000}"/>
  </bookViews>
  <sheets>
    <sheet name="Cover" sheetId="43031" r:id="rId1"/>
    <sheet name="Segmental info &amp; Opex" sheetId="43034" r:id="rId2"/>
    <sheet name="Corporate_Overview" sheetId="196" r:id="rId3"/>
    <sheet name="Segmental info &amp; Opex (original" sheetId="43037" state="hidden" r:id="rId4"/>
    <sheet name="1.Rev YoY" sheetId="43032" state="hidden" r:id="rId5"/>
    <sheet name="2.Ope YoY" sheetId="43033" state="hidden" r:id="rId6"/>
    <sheet name="3.Summary" sheetId="43036" state="hidden" r:id="rId7"/>
    <sheet name="5.BS" sheetId="6" state="hidden" r:id="rId8"/>
  </sheets>
  <definedNames>
    <definedName name="_EPRCS_REPORT_PACKAGE_ID_" hidden="1">"b3ad5cd5-6c63-41e6-9eb8-2413e956eca3"</definedName>
    <definedName name="_EPRCS_RP_DOCLET_ID_" hidden="1">"42651c5b-8fed-4127-9011-b6a43372bb66"</definedName>
    <definedName name="_EPRCS_VU_006bad7c_3696_4d8d_b27e_68d6984074b4" hidden="1">223</definedName>
    <definedName name="_EPRCS_VU_013f7dec_eab5_4167_9f76_a41d36d69298" hidden="1">15107</definedName>
    <definedName name="_EPRCS_VU_0354b787_d4f2_4b95_b585_45b8c6b309d6" hidden="1">-3183</definedName>
    <definedName name="_EPRCS_VU_0419fe7c_8e5c_48be_8627_1ece72d9c780" hidden="1">0</definedName>
    <definedName name="_EPRCS_VU_06851369_31b1_4d9a_83c1_e58e24f7f32d" hidden="1">"11.4%"</definedName>
    <definedName name="_EPRCS_VU_0731383a_6c8f_48a0_a213_4ee6a445b74e" hidden="1">37593</definedName>
    <definedName name="_EPRCS_VU_07abcf68_72d7_47bb_bdb8_487e2ef4a7de" hidden="1">0</definedName>
    <definedName name="_EPRCS_VU_10673e10_51d2_447a_883d_ebbdf63ef536" hidden="1">74260</definedName>
    <definedName name="_EPRCS_VU_1176b03a_f4c2_4c92_9b1a_b88941a855de" hidden="1">-1505</definedName>
    <definedName name="_EPRCS_VU_12551c9a_13ef_4396_bc59_bd62b66f88e1" hidden="1">59007</definedName>
    <definedName name="_EPRCS_VU_12e224f8_97bf_40d6_b292_9e1979be3b9e" hidden="1">8480</definedName>
    <definedName name="_EPRCS_VU_15ab3c6b_d905_4a19_ad65_ef8a3edb8b6e" hidden="1">171066</definedName>
    <definedName name="_EPRCS_VU_17ee33e2_5838_463d_a0a4_68729ad9ad40" hidden="1">21369</definedName>
    <definedName name="_EPRCS_VU_180f0f9c_075a_4d99_a9c6_dcae209a4626" hidden="1">"12.0%"</definedName>
    <definedName name="_EPRCS_VU_1bc47d32_0e8b_4c36_8fc3_da76ce74b203" hidden="1">0</definedName>
    <definedName name="_EPRCS_VU_1cb62492_ba56_4944_91d9_d509fe77df13" hidden="1">3463</definedName>
    <definedName name="_EPRCS_VU_1dc0c384_8a89_488b_9cb5_b8baad0459ab" hidden="1">21128</definedName>
    <definedName name="_EPRCS_VU_1ea16c9f_56de_45ce_b559_4a4990b5f147" hidden="1">0</definedName>
    <definedName name="_EPRCS_VU_1f4b8a16_8347_4ac4_ad32_ed34fd72583e" hidden="1">0</definedName>
    <definedName name="_EPRCS_VU_20505565_83c2_4763_98b7_8d95ec41cd56" hidden="1">0</definedName>
    <definedName name="_EPRCS_VU_20bab543_16f6_4a7f_89e3_57479f5eb3cc" hidden="1">72000</definedName>
    <definedName name="_EPRCS_VU_210ff433_2b83_460b_b5bd_fd9f623272b1" hidden="1">0</definedName>
    <definedName name="_EPRCS_VU_21321d50_ffbe_412b_a7ad_36419aa0d280" hidden="1">0</definedName>
    <definedName name="_EPRCS_VU_251b669f_c884_4914_a14f_9c687beec44c" hidden="1">171033</definedName>
    <definedName name="_EPRCS_VU_2628e299_8bc0_476d_aafb_82087ca9cc95" hidden="1">"-7.2%"</definedName>
    <definedName name="_EPRCS_VU_2876a8ce_a99d_41e1_aa84_5d8cbee07535" hidden="1">"8.6%"</definedName>
    <definedName name="_EPRCS_VU_28fb3dae_1e0d_4565_895f_69e4367c8feb" hidden="1">2919</definedName>
    <definedName name="_EPRCS_VU_2a9126ad_499f_47b4_ae11_c2b570a17aa8" hidden="1">"-100.0%"</definedName>
    <definedName name="_EPRCS_VU_2b9cbcd4_3d26_467e_bfb9_6116577674c1" hidden="1">"-100.0%"</definedName>
    <definedName name="_EPRCS_VU_2c2d9bc9_22f3_4798_b1cf_8a6d725cc4cb" hidden="1">0</definedName>
    <definedName name="_EPRCS_VU_2fa0e1d9_1f91_4d4d_817f_9dbb3b376d70" hidden="1">8945</definedName>
    <definedName name="_EPRCS_VU_2fccc0d2_f744_4889_be97_5da7469aadf9" hidden="1">12672</definedName>
    <definedName name="_EPRCS_VU_310fdabc_2c05_4409_bc6f_c1c219e5d025" hidden="1">2641</definedName>
    <definedName name="_EPRCS_VU_32ceace3_3f06_4e46_8afa_912ea78d7f0f" hidden="1">"1.8%"</definedName>
    <definedName name="_EPRCS_VU_32efad70_ce46_48b9_8744_e532a12a13ce" hidden="1">9301</definedName>
    <definedName name="_EPRCS_VU_346fb839_3ad3_472f_998e_9a170fdebc75" hidden="1">0</definedName>
    <definedName name="_EPRCS_VU_3590bb51_735a_48de_b450_a84065238984" hidden="1">0</definedName>
    <definedName name="_EPRCS_VU_3654dd71_1f2d_4c17_b22e_6b696b405d36" hidden="1">6272</definedName>
    <definedName name="_EPRCS_VU_37505b56_5784_499c_beda_3ead13a5540c" hidden="1">"-100.0%"</definedName>
    <definedName name="_EPRCS_VU_37b9d51b_27b0_4471_9909_56df1fc163ea" hidden="1">6851</definedName>
    <definedName name="_EPRCS_VU_37e040f6_e1e2_4a4c_9c8c_792d894df2a9" hidden="1">5516</definedName>
    <definedName name="_EPRCS_VU_37f4219c_bd5c_4305_93cf_ed3352452d4d" hidden="1">0</definedName>
    <definedName name="_EPRCS_VU_382b4d89_c262_4c2a_8f66_e24e90eadc2a" hidden="1">0</definedName>
    <definedName name="_EPRCS_VU_39f5a930_be4f_4454_a307_d29e8b63c50d" hidden="1">"-6.3%"</definedName>
    <definedName name="_EPRCS_VU_3ae9de0c_8922_4916_b433_6f6e47ae77f9" hidden="1">"39.0%"</definedName>
    <definedName name="_EPRCS_VU_3b86dc21_9538_421c_a87d_292c9111007a" hidden="1">0</definedName>
    <definedName name="_EPRCS_VU_41ffecaf_5635_4d44_96e5_034575201c14" hidden="1">0</definedName>
    <definedName name="_EPRCS_VU_42087a9e_2e56_46bc_88f8_12634e1700dd" hidden="1">103889</definedName>
    <definedName name="_EPRCS_VU_45e26d8b_daf7_4ebb_ac98_c3605167486b" hidden="1">0</definedName>
    <definedName name="_EPRCS_VU_472a313a_2e70_4817_ba33_2092029a0e7a" hidden="1">1569</definedName>
    <definedName name="_EPRCS_VU_479eaece_9ccb_4414_b8df_8f0330525003" hidden="1">0</definedName>
    <definedName name="_EPRCS_VU_47eca099_82d3_4998_9eeb_3d01841de357" hidden="1">2994</definedName>
    <definedName name="_EPRCS_VU_48e17506_9ca7_4a80_aa3d_06b7c71d72e5" hidden="1">"-100.0%"</definedName>
    <definedName name="_EPRCS_VU_49ae8ce3_1e23_4000_98f4_819016bed1d4" hidden="1">21159</definedName>
    <definedName name="_EPRCS_VU_4a6aad6b_94fe_406b_997d_a874a77f52ba" hidden="1">"9.8%"</definedName>
    <definedName name="_EPRCS_VU_4c4037eb_2be5_45bf_bec1_03367a4a4c95" hidden="1">8599</definedName>
    <definedName name="_EPRCS_VU_4ca53957_7ac6_4ef2_8a8d_5897cfe3269b" hidden="1">60416</definedName>
    <definedName name="_EPRCS_VU_4cf9abab_52cc_4776_8c15_b5d780babf72" hidden="1">0</definedName>
    <definedName name="_EPRCS_VU_504b2696_bd61_4754_8f8d_3ac9f6803be7" hidden="1">"21.3%"</definedName>
    <definedName name="_EPRCS_VU_5326a3a9_337f_45b8_80a8_2194ee3aba11" hidden="1">-2090</definedName>
    <definedName name="_EPRCS_VU_53b8827d_f982_48dd_8933_105906dbf55e" hidden="1">0</definedName>
    <definedName name="_EPRCS_VU_548e0434_0e4e_40a1_82c2_8156e06fa6c5" hidden="1">0</definedName>
    <definedName name="_EPRCS_VU_59116170_65e1_4c1e_9e5c_e422df7ed7fd" hidden="1">144530</definedName>
    <definedName name="_EPRCS_VU_59b22a5e_849a_43b6_8ce2_0f6e13d73fa6" hidden="1">"-100.0%"</definedName>
    <definedName name="_EPRCS_VU_60c431da_b49a_46a1_8c16_968314448194" hidden="1">"6.9%"</definedName>
    <definedName name="_EPRCS_VU_61ddfa2e_d7cb_4004_bc25_ce43f7384565" hidden="1">19097</definedName>
    <definedName name="_EPRCS_VU_63813470_c128_46a7_ac5e_f2885d96c02e" hidden="1">0</definedName>
    <definedName name="_EPRCS_VU_681d1d87_c25a_4855_846b_90c83cd48146" hidden="1">6428</definedName>
    <definedName name="_EPRCS_VU_682789fd_8a69_48d0_a05d_ffedd76d3ee7" hidden="1">0</definedName>
    <definedName name="_EPRCS_VU_685fde2d_03e5_4ccd_b995_90068d48ba69" hidden="1">6399</definedName>
    <definedName name="_EPRCS_VU_69c8cc68_1949_489a_a8ca_cb8420919363" hidden="1">38975</definedName>
    <definedName name="_EPRCS_VU_6a8a026c_c7c4_485d_8be9_4b3b7c872238" hidden="1">42699</definedName>
    <definedName name="_EPRCS_VU_6c3d1c01_51b5_4fc1_9310_1d2dbbd76807" hidden="1">"3.7%"</definedName>
    <definedName name="_EPRCS_VU_6cc79af0_4374_4659_ab01_a72c6b10ac79" hidden="1">"4.1%"</definedName>
    <definedName name="_EPRCS_VU_721c8970_3e84_4060_8fce_108dbf2d600e" hidden="1">"-8.0%"</definedName>
    <definedName name="_EPRCS_VU_7257c378_8a54_4d50_aa75_b495c7787d8a" hidden="1">53533</definedName>
    <definedName name="_EPRCS_VU_729f0e5c_3b98_42dd_adc4_5e5eacb8b3ba" hidden="1">78428</definedName>
    <definedName name="_EPRCS_VU_72ff9459_6c4e_44cd_a1a3_6a8d3ae9c49e" hidden="1">"31.7%"</definedName>
    <definedName name="_EPRCS_VU_749e8515_c79c_49d0_8a3e_5bf4893d17d7" hidden="1">29913</definedName>
    <definedName name="_EPRCS_VU_74f506f9_5ec4_415a_830a_877d8cd35cf9" hidden="1">14805</definedName>
    <definedName name="_EPRCS_VU_7612406e_0cca_409a_905a_499f1f9f7bbb" hidden="1">0</definedName>
    <definedName name="_EPRCS_VU_77744b77_faa9_4069_87dd_2811b6b6588d" hidden="1">0</definedName>
    <definedName name="_EPRCS_VU_7807fc6f_720f_4ecc_aaad_3f62fe1cde88" hidden="1">45147</definedName>
    <definedName name="_EPRCS_VU_7962fd3e_86af_49c1_a17e_a078f12f9576" hidden="1">"-100.0%"</definedName>
    <definedName name="_EPRCS_VU_79dbdf19_ba49_4d06_90de_1e6c4889d8cd" hidden="1">"3.8%"</definedName>
    <definedName name="_EPRCS_VU_7d27241d_21d1_4085_b4c4_51de9cec7248" hidden="1">"37.2%"</definedName>
    <definedName name="_EPRCS_VU_7daa0f50_2789_4855_8e00_fe52311ff3f4" hidden="1">42659</definedName>
    <definedName name="_EPRCS_VU_7fce80ec_24e5_410f_8ad8_bbb5b9534a6e" hidden="1">0</definedName>
    <definedName name="_EPRCS_VU_80832dd0_fa68_415e_9f31_f7b7d7db289f" hidden="1">"-100.0%"</definedName>
    <definedName name="_EPRCS_VU_80f58965_d555_471e_924c_634777cad9b2" hidden="1">36666</definedName>
    <definedName name="_EPRCS_VU_844b095d_e245_4f20_a627_7d26afde7c23" hidden="1">"#DIV/0!"</definedName>
    <definedName name="_EPRCS_VU_892ff40a_2ad6_43a5_bd90_cca9157530a0" hidden="1">9276</definedName>
    <definedName name="_EPRCS_VU_895ee485_7f97_46cd_9711_b8bbad2c7372" hidden="1">26151</definedName>
    <definedName name="_EPRCS_VU_8a3addfc_f451_4926_9691_5493b1a8976f" hidden="1">37441</definedName>
    <definedName name="_EPRCS_VU_8bf59a77_0949_46a0_a59e_4042c5d6df89" hidden="1">5991</definedName>
    <definedName name="_EPRCS_VU_8c36847e_f03c_434e_8e64_a7e1be82b505" hidden="1">25248</definedName>
    <definedName name="_EPRCS_VU_8d788a00_8d33_4f4d_a68f_e55beb3bd24e" hidden="1">17757</definedName>
    <definedName name="_EPRCS_VU_8e7f3b8d_844a_4ea8_889b_6608915da276" hidden="1">"-7.6%"</definedName>
    <definedName name="_EPRCS_VU_8e856597_aa1e_4905_92cb_7dd8be51cabc" hidden="1">29608</definedName>
    <definedName name="_EPRCS_VU_8ec954a1_3070_45fe_a232_ba2d89784655" hidden="1">"-2.1%"</definedName>
    <definedName name="_EPRCS_VU_8f5c5a05_fb94_4438_ae91_34b372dd20aa" hidden="1">6457</definedName>
    <definedName name="_EPRCS_VU_9083c51c_f7df_4809_acd6_8624efdac363" hidden="1">0</definedName>
    <definedName name="_EPRCS_VU_90a1bcb2_da8f_4a12_91aa_5d66bab260b5" hidden="1">33</definedName>
    <definedName name="_EPRCS_VU_91947ee3_c569_4700_8371_bbc2f633f413" hidden="1">0</definedName>
    <definedName name="_EPRCS_VU_93237caf_e393_4928_b2fe_038eed72c03d" hidden="1">26057</definedName>
    <definedName name="_EPRCS_VU_9384e972_70dc_4c0f_a19f_c7e060e6a9af" hidden="1">56539</definedName>
    <definedName name="_EPRCS_VU_949509bd_9b74_4867_ae97_e29870856c5d" hidden="1">"-5.2%"</definedName>
    <definedName name="_EPRCS_VU_954209ba_ee1c_4ecc_99a5_97c4f04ff7ac" hidden="1">"3.6%"</definedName>
    <definedName name="_EPRCS_VU_9670c32b_a468_4fd3_8164_f0ba4a17880b" hidden="1">39129</definedName>
    <definedName name="_EPRCS_VU_99280504_3988_41f3_bfcd_2ece6c331d2f" hidden="1">17682</definedName>
    <definedName name="_EPRCS_VU_9a6be98d_e9ca_49f6_9a03_304a0acd204d" hidden="1">0</definedName>
    <definedName name="_EPRCS_VU_9a83a97b_c839_4372_8896_a549ad646f85" hidden="1">1350</definedName>
    <definedName name="_EPRCS_VU_9b50abb8_873c_4da9_9247_0c45161664a4" hidden="1">43178</definedName>
    <definedName name="_EPRCS_VU_9cb3bfac_9da6_4ecb_873b_1ba36f062c1c" hidden="1">"-100.0%"</definedName>
    <definedName name="_EPRCS_VU_9d7671dd_f2b0_42f1_a9ee_90ce701c9bfa" hidden="1">3014</definedName>
    <definedName name="_EPRCS_VU_9e005e40_8dda_4860_8cdc_113891f69e1e" hidden="1">139275</definedName>
    <definedName name="_EPRCS_VU_9e5ef11e_2973_4235_bc9b_9b27b338940e" hidden="1">"6.9%"</definedName>
    <definedName name="_EPRCS_VU_9ecf30f4_bdc3_44b0_8bdc_ebe1f353f1d7" hidden="1">99</definedName>
    <definedName name="_EPRCS_VU_a0af4ec1_ebb8_4611_89b8_a6050bf204d1" hidden="1">0</definedName>
    <definedName name="_EPRCS_VU_a141dab2_9c0a_4e7a_84ff_0a5e397a0135" hidden="1">"-4.6%"</definedName>
    <definedName name="_EPRCS_VU_a16fecac_ba90_4d9c_bc1b_c75dfac3f271" hidden="1">0</definedName>
    <definedName name="_EPRCS_VU_a185abc2_ac85_4c53_910a_cce1dcd912fe" hidden="1">92018</definedName>
    <definedName name="_EPRCS_VU_a2435e05_07e0_41d4_a1ef_e95b898f4e4d" hidden="1">"-100.0%"</definedName>
    <definedName name="_EPRCS_VU_a2887b35_3dc4_4a18_a402_be87900a8a54" hidden="1">"-100.0%"</definedName>
    <definedName name="_EPRCS_VU_a408cc9d_f638_4f7a_bcd6_e3eee1485d91" hidden="1">30808</definedName>
    <definedName name="_EPRCS_VU_a5431a5d_34ee_4e2e_a228_5b21607c0593" hidden="1">"31.9%"</definedName>
    <definedName name="_EPRCS_VU_a5afb466_fc30_4456_93eb_a2ff8b10a74d" hidden="1">"1.5%"</definedName>
    <definedName name="_EPRCS_VU_a70078f7_c17f_4300_8ceb_804fc347129b" hidden="1">"-3.8%"</definedName>
    <definedName name="_EPRCS_VU_a72917da_ad82_42ae_81b6_bb523ed51c1b" hidden="1">6052</definedName>
    <definedName name="_EPRCS_VU_a7b1219e_6b33_4641_a3cb_a70ed69753a3" hidden="1">66275</definedName>
    <definedName name="_EPRCS_VU_a8e84834_5c10_4889_b7a9_c63ca2fbbc67" hidden="1">"59.8%"</definedName>
    <definedName name="_EPRCS_VU_aaf2e603_44e2_47e6_a642_368cc3fd7394" hidden="1">115546</definedName>
    <definedName name="_EPRCS_VU_ac1d2593_7d99_484e_95bc_3eeb593d7b94" hidden="1">0</definedName>
    <definedName name="_EPRCS_VU_ae136340_81dd_4ed7_bf76_4e7ad776845a" hidden="1">27381</definedName>
    <definedName name="_EPRCS_VU_ae4dc170_48a7_4bb6_834d_329dc17f20f3" hidden="1">"31.5%"</definedName>
    <definedName name="_EPRCS_VU_af74c5b0_63b5_4142_9b1f_fff7cf1f2568" hidden="1">35971</definedName>
    <definedName name="_EPRCS_VU_afc675a9_84dd_4669_b37a_692d7a60401d" hidden="1">"-4.1%"</definedName>
    <definedName name="_EPRCS_VU_b157e619_a8a3_416e_b980_c225ca523f9f" hidden="1">"-100.0%"</definedName>
    <definedName name="_EPRCS_VU_b20b2d96_d1aa_4f6b_8621_25ee43a70a72" hidden="1">0</definedName>
    <definedName name="_EPRCS_VU_b29b8e65_8355_42c8_bb74_fd636639b87b" hidden="1">-1677</definedName>
    <definedName name="_EPRCS_VU_b66b5450_4eef_4ea9_9b06_5f931ad638dd" hidden="1">21539</definedName>
    <definedName name="_EPRCS_VU_b79740be_e506_4147_8d65_93dee6d5b5cd" hidden="1">-20</definedName>
    <definedName name="_EPRCS_VU_b857a7a4_3a70_4134_b8e3_cef51d559b3f" hidden="1">"-100.0%"</definedName>
    <definedName name="_EPRCS_VU_b9c4cb94_4d60_4af2_b127_4724feda6515" hidden="1">0</definedName>
    <definedName name="_EPRCS_VU_bb3ef813_ff35_482c_8207_9fef32ddab2f" hidden="1">0</definedName>
    <definedName name="_EPRCS_VU_be9d34f8_3694_4963_be85_dfb909845d7d" hidden="1">0</definedName>
    <definedName name="_EPRCS_VU_bec7669b_839c_41fb_a241_30ba75009f91" hidden="1">201195</definedName>
    <definedName name="_EPRCS_VU_c17d0e91_3e08_45c7_8f7f_01115697a461" hidden="1">"3.6%"</definedName>
    <definedName name="_EPRCS_VU_c200f673_8065_422f_8863_34cdfa792ca9" hidden="1">315596</definedName>
    <definedName name="_EPRCS_VU_c2ced7a2_80fe_4206_bd35_02c4a1918a43" hidden="1">"-100.0%"</definedName>
    <definedName name="_EPRCS_VU_c366b24b_d1d4_405d_9e30_c558cd79498d" hidden="1">64231</definedName>
    <definedName name="_EPRCS_VU_c41cdf57_147d_4e9e_929e_b0ccf9b93e77" hidden="1">0</definedName>
    <definedName name="_EPRCS_VU_c8f722cf_b9b1_42d8_bc27_2c6507ee95db" hidden="1">11508</definedName>
    <definedName name="_EPRCS_VU_cf473b97_596a_4197_a55d_72c4e0e6b4e2" hidden="1">76417</definedName>
    <definedName name="_EPRCS_VU_cffedbb4_af1a_459e_a03a_84d1547d4338" hidden="1">0</definedName>
    <definedName name="_EPRCS_VU_d026f629_ff5a_4250_be69_93bfbc5530a5" hidden="1">0</definedName>
    <definedName name="_EPRCS_VU_d1167af3_fbc2_48d0_86a7_f5e9705097ca" hidden="1">0</definedName>
    <definedName name="_EPRCS_VU_d11e9f45_9cfc_4fa3_b98d_db66167f3740" hidden="1">"-100.0%"</definedName>
    <definedName name="_EPRCS_VU_d572f0e0_97eb_46e4_bc18_38f949b84e45" hidden="1">"3.9%"</definedName>
    <definedName name="_EPRCS_VU_d595860a_ea2c_4a83_b53f_c6dd5f6e592b" hidden="1">531</definedName>
    <definedName name="_EPRCS_VU_d6f137d0_ac3c_4ffd_b6d0_5b9491c722c3" hidden="1">"-100.0%"</definedName>
    <definedName name="_EPRCS_VU_d77f25bc_0dcd_44d2_9079_745e8a8abe55" hidden="1">"-100.0%"</definedName>
    <definedName name="_EPRCS_VU_dab2433f_e6d3_4c09_98ab_759962b622ec" hidden="1">"-100.0%"</definedName>
    <definedName name="_EPRCS_VU_dc1ba3e4_7323_4ea2_8ba9_bd2503f195dc" hidden="1">0</definedName>
    <definedName name="_EPRCS_VU_dc50880e_1017_4126_83ea_075738a33a21" hidden="1">17451</definedName>
    <definedName name="_EPRCS_VU_e0fe5d3e_e824_4285_8d10_7c4306763472" hidden="1">601</definedName>
    <definedName name="_EPRCS_VU_e2260264_b2cd_484d_afd1_bb46c6f445d0" hidden="1">"-100.0%"</definedName>
    <definedName name="_EPRCS_VU_e44112f7_cca6_480a_a649_d77441b50318" hidden="1">"9.2%"</definedName>
    <definedName name="_EPRCS_VU_e4cff6d0_958f_4039_879c_2b8900534e35" hidden="1">"Q2"</definedName>
    <definedName name="_EPRCS_VU_e58d7ef3_95eb_4405_a3ef_386de7f075d3" hidden="1">1132</definedName>
    <definedName name="_EPRCS_VU_e58e71fb_15d0_457a_bbe3_c983e58a63fd" hidden="1">0</definedName>
    <definedName name="_EPRCS_VU_e5baad94_9105_47b9_9321_633412ccc497" hidden="1">13956</definedName>
    <definedName name="_EPRCS_VU_e5f6446b_5af1_4c9c_932c_7a5341987ccc" hidden="1">144530</definedName>
    <definedName name="_EPRCS_VU_e7208ffb_ae27_4a8f_97a4_ed7edeebed90" hidden="1">114400</definedName>
    <definedName name="_EPRCS_VU_e82368fd_3116_45b2_80b6_9b41c574ed33" hidden="1">"-4.8%"</definedName>
    <definedName name="_EPRCS_VU_e84e5be3_3196_4ae0_a6e9_25700fb89c4d" hidden="1">"13.7%"</definedName>
    <definedName name="_EPRCS_VU_e8e0aca3_0301_44a2_a1be_be43f4b1255e" hidden="1">5655</definedName>
    <definedName name="_EPRCS_VU_e9525f3b_fdec_4cc7_878e_e8c74f78a6ef" hidden="1">13081</definedName>
    <definedName name="_EPRCS_VU_e9a413b1_0180_43c7_bc7a_fc02b306790f" hidden="1">6750</definedName>
    <definedName name="_EPRCS_VU_ea97e8a3_c57b_4169_8ae7_63c60b10dea0" hidden="1">124</definedName>
    <definedName name="_EPRCS_VU_ed3b1116_c1e4_4db2_a4bc_b69b1ef91baf" hidden="1">"38.3%"</definedName>
    <definedName name="_EPRCS_VU_f01ab0b4_2c48_4528_bedc_935a008efe3b" hidden="1">8505</definedName>
    <definedName name="_EPRCS_VU_f1a2a423_0906_4014_9962_bfe2d2084e20" hidden="1">46870</definedName>
    <definedName name="_EPRCS_VU_f227701d_bc5a_419d_a8df_121157cf024c" hidden="1">"-100.0%"</definedName>
    <definedName name="_EPRCS_VU_f464091c_160b_4c16_9625_d5f910c39a4a" hidden="1">"-100.0%"</definedName>
    <definedName name="_EPRCS_VU_f4e0abfe_12a2_4888_b1db_de96d29ec255" hidden="1">"7.5%"</definedName>
    <definedName name="_EPRCS_VU_f728f235_7bc3_4fb1_9954_54fd0325275a" hidden="1">0</definedName>
    <definedName name="_EPRCS_VU_fa7a35cb_5c76_4ad9_8d2a_bdd90c90a01a" hidden="1">68401</definedName>
    <definedName name="_EPRCS_VU_fb5086d9_0dd1_4b76_be4d_587cd86c41df" hidden="1">21809</definedName>
    <definedName name="_EPRCS_VU_fbc0e8e1_e7fa_43e1_9228_eee73c606e8d" hidden="1">134677</definedName>
    <definedName name="_EPRCS_VU_fccefec5_b3a6_4c89_8745_497a05288931" hidden="1">"#DIV/0!"</definedName>
    <definedName name="_EPRCS_VU_fefff050_db52_4fc7_b34e_2f20bfde9ff8" hidden="1">0</definedName>
    <definedName name="_EPRCS_VU_ff390a40_17f4_4dd7_abcd_9d16e7651e0d" hidden="1">0</definedName>
    <definedName name="_EPRCS_VU_ffad3a57_b325_4c51_aebd_5d7b7e376450" hidden="1">21531</definedName>
    <definedName name="_xlnm.Print_Area" localSheetId="4">'1.Rev YoY'!$C$1:$H$24</definedName>
    <definedName name="_xlnm.Print_Area" localSheetId="5">'2.Ope YoY'!$B$1:$I$22</definedName>
    <definedName name="_xlnm.Print_Area" localSheetId="6">'3.Summary'!$B$1:$Q$31</definedName>
    <definedName name="_xlnm.Print_Area" localSheetId="2">Corporate_Overview!$A$1:$M$39</definedName>
    <definedName name="_xlnm.Print_Area" localSheetId="0">Cover!$A$1:$Q$30</definedName>
    <definedName name="_xlnm.Print_Area" localSheetId="1">'Segmental info &amp; Opex'!$A$1:$P$50</definedName>
    <definedName name="_xlnm.Print_Area" localSheetId="3">'Segmental info &amp; Opex (original'!$A$1:$P$50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43034" l="1"/>
  <c r="R40" i="6"/>
  <c r="I40" i="6"/>
  <c r="R38" i="6"/>
  <c r="I37" i="6"/>
  <c r="R36" i="6"/>
  <c r="I35" i="6"/>
  <c r="R34" i="6"/>
  <c r="I33" i="6"/>
  <c r="R32" i="6"/>
  <c r="I32" i="6"/>
  <c r="R30" i="6"/>
  <c r="R28" i="6"/>
  <c r="I28" i="6"/>
  <c r="R26" i="6"/>
  <c r="I26" i="6"/>
  <c r="I25" i="6"/>
  <c r="I24" i="6"/>
  <c r="R23" i="6"/>
  <c r="I21" i="6"/>
  <c r="I19" i="6"/>
  <c r="R17" i="6"/>
  <c r="R15" i="6"/>
  <c r="R11" i="6"/>
  <c r="R9" i="6"/>
  <c r="I9" i="6"/>
  <c r="R7" i="6"/>
  <c r="I7" i="6"/>
  <c r="R5" i="6"/>
  <c r="I5" i="6"/>
  <c r="H12" i="43036"/>
  <c r="G12" i="43036"/>
  <c r="F12" i="43036"/>
  <c r="E12" i="43036"/>
  <c r="D12" i="43036"/>
  <c r="H11" i="43036"/>
  <c r="G11" i="43036"/>
  <c r="F11" i="43036"/>
  <c r="E11" i="43036"/>
  <c r="D11" i="43036"/>
  <c r="H10" i="43036"/>
  <c r="G10" i="43036"/>
  <c r="F10" i="43036"/>
  <c r="E10" i="43036"/>
  <c r="D10" i="43036"/>
  <c r="H9" i="43036"/>
  <c r="G9" i="43036"/>
  <c r="F9" i="43036"/>
  <c r="E9" i="43036"/>
  <c r="D9" i="43036"/>
  <c r="H8" i="43036"/>
  <c r="G8" i="43036"/>
  <c r="F8" i="43036"/>
  <c r="E8" i="43036"/>
  <c r="D8" i="43036"/>
  <c r="H7" i="43036"/>
  <c r="G7" i="43036"/>
  <c r="F7" i="43036"/>
  <c r="E7" i="43036"/>
  <c r="D7" i="43036"/>
  <c r="H6" i="43036"/>
  <c r="G6" i="43036"/>
  <c r="F6" i="43036"/>
  <c r="E6" i="43036"/>
  <c r="D6" i="43036"/>
  <c r="H5" i="43036"/>
  <c r="G5" i="43036"/>
  <c r="F5" i="43036"/>
  <c r="E5" i="43036"/>
  <c r="D5" i="43036"/>
  <c r="B2" i="43036"/>
  <c r="K44" i="43037"/>
  <c r="J44" i="43037"/>
  <c r="I44" i="43037"/>
  <c r="H44" i="43037"/>
  <c r="G44" i="43037"/>
  <c r="J43" i="43037"/>
  <c r="K42" i="43037"/>
  <c r="J42" i="43037"/>
  <c r="I42" i="43037"/>
  <c r="H42" i="43037"/>
  <c r="G42" i="43037"/>
  <c r="K41" i="43037"/>
  <c r="J41" i="43037"/>
  <c r="I41" i="43037"/>
  <c r="H41" i="43037"/>
  <c r="G41" i="43037"/>
  <c r="K40" i="43037"/>
  <c r="J40" i="43037"/>
  <c r="I40" i="43037"/>
  <c r="H40" i="43037"/>
  <c r="G40" i="43037"/>
  <c r="K39" i="43037"/>
  <c r="J39" i="43037"/>
  <c r="I39" i="43037"/>
  <c r="H39" i="43037"/>
  <c r="G39" i="43037"/>
  <c r="K38" i="43037"/>
  <c r="J38" i="43037"/>
  <c r="I38" i="43037"/>
  <c r="H38" i="43037"/>
  <c r="G38" i="43037"/>
  <c r="K34" i="43037"/>
  <c r="J34" i="43037"/>
  <c r="I34" i="43037"/>
  <c r="H34" i="43037"/>
  <c r="G34" i="43037"/>
  <c r="K33" i="43037"/>
  <c r="J33" i="43037"/>
  <c r="I33" i="43037"/>
  <c r="H33" i="43037"/>
  <c r="G33" i="43037"/>
  <c r="K32" i="43037"/>
  <c r="J32" i="43037"/>
  <c r="I32" i="43037"/>
  <c r="H32" i="43037"/>
  <c r="G32" i="43037"/>
  <c r="K31" i="43037"/>
  <c r="J31" i="43037"/>
  <c r="I31" i="43037"/>
  <c r="H31" i="43037"/>
  <c r="G31" i="43037"/>
  <c r="K30" i="43037"/>
  <c r="J30" i="43037"/>
  <c r="I30" i="43037"/>
  <c r="H30" i="43037"/>
  <c r="G30" i="43037"/>
  <c r="K29" i="43037"/>
  <c r="J29" i="43037"/>
  <c r="I29" i="43037"/>
  <c r="H29" i="43037"/>
  <c r="G29" i="43037"/>
  <c r="K28" i="43037"/>
  <c r="J28" i="43037"/>
  <c r="I28" i="43037"/>
  <c r="H28" i="43037"/>
  <c r="G28" i="43037"/>
  <c r="K27" i="43037"/>
  <c r="J27" i="43037"/>
  <c r="I27" i="43037"/>
  <c r="H27" i="43037"/>
  <c r="G27" i="43037"/>
  <c r="K26" i="43037"/>
  <c r="J26" i="43037"/>
  <c r="I26" i="43037"/>
  <c r="H26" i="43037"/>
  <c r="G26" i="43037"/>
  <c r="K25" i="43037"/>
  <c r="J25" i="43037"/>
  <c r="I25" i="43037"/>
  <c r="H25" i="43037"/>
  <c r="G25" i="43037"/>
  <c r="K20" i="43037"/>
  <c r="J20" i="43037"/>
  <c r="I20" i="43037"/>
  <c r="H20" i="43037"/>
  <c r="G20" i="43037"/>
  <c r="K19" i="43037"/>
  <c r="J19" i="43037"/>
  <c r="I19" i="43037"/>
  <c r="H19" i="43037"/>
  <c r="G19" i="43037"/>
  <c r="K18" i="43037"/>
  <c r="J18" i="43037"/>
  <c r="I18" i="43037"/>
  <c r="H18" i="43037"/>
  <c r="G18" i="43037"/>
  <c r="K17" i="43037"/>
  <c r="J17" i="43037"/>
  <c r="I17" i="43037"/>
  <c r="H17" i="43037"/>
  <c r="G17" i="43037"/>
  <c r="K16" i="43037"/>
  <c r="J16" i="43037"/>
  <c r="I16" i="43037"/>
  <c r="H16" i="43037"/>
  <c r="G16" i="43037"/>
  <c r="K15" i="43037"/>
  <c r="J15" i="43037"/>
  <c r="I15" i="43037"/>
  <c r="H15" i="43037"/>
  <c r="G15" i="43037"/>
  <c r="K14" i="43037"/>
  <c r="J14" i="43037"/>
  <c r="I14" i="43037"/>
  <c r="H14" i="43037"/>
  <c r="G14" i="43037"/>
  <c r="K13" i="43037"/>
  <c r="J13" i="43037"/>
  <c r="I13" i="43037"/>
  <c r="H13" i="43037"/>
  <c r="G13" i="43037"/>
  <c r="K12" i="43037"/>
  <c r="J12" i="43037"/>
  <c r="I12" i="43037"/>
  <c r="H12" i="43037"/>
  <c r="G12" i="43037"/>
  <c r="K11" i="43037"/>
  <c r="J11" i="43037"/>
  <c r="I11" i="43037"/>
  <c r="H11" i="43037"/>
  <c r="G11" i="43037"/>
  <c r="K10" i="43037"/>
  <c r="G10" i="43037"/>
  <c r="K9" i="43037"/>
  <c r="G9" i="43037"/>
  <c r="G2" i="43037"/>
</calcChain>
</file>

<file path=xl/sharedStrings.xml><?xml version="1.0" encoding="utf-8"?>
<sst xmlns="http://schemas.openxmlformats.org/spreadsheetml/2006/main" count="578" uniqueCount="327">
  <si>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</si>
  <si>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</si>
  <si>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</si>
  <si>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</si>
  <si>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</si>
  <si>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</si>
  <si>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</si>
  <si>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</si>
  <si>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</si>
  <si>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</si>
  <si>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</si>
  <si>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</si>
  <si>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</si>
  <si>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</si>
  <si>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</si>
  <si>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</si>
  <si>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</si>
  <si>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</si>
  <si>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</si>
  <si>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</si>
  <si>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</si>
  <si>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</si>
  <si>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</si>
  <si>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</si>
  <si>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</si>
  <si>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</si>
  <si>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</si>
  <si>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</si>
  <si>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</si>
  <si>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</si>
  <si>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</si>
  <si>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(百万円  Millions of Yen)</t>
    <rPh sb="1" eb="4">
      <t>ヒャクマンエン</t>
    </rPh>
    <phoneticPr fontId="2"/>
  </si>
  <si>
    <t>1985年10月15日</t>
    <rPh sb="0" eb="5">
      <t>１９８５ネン</t>
    </rPh>
    <rPh sb="5" eb="8">
      <t>１０ガツ</t>
    </rPh>
    <rPh sb="8" eb="11">
      <t>１５ニチ</t>
    </rPh>
    <phoneticPr fontId="2"/>
  </si>
  <si>
    <t>東京都港区北青山2-5-8　オラクル青山センター</t>
    <rPh sb="0" eb="3">
      <t>トウキョウト</t>
    </rPh>
    <rPh sb="3" eb="5">
      <t>ミナトク</t>
    </rPh>
    <rPh sb="5" eb="8">
      <t>キタアオヤマ</t>
    </rPh>
    <rPh sb="18" eb="20">
      <t>アオヤマ</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</si>
  <si>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</si>
  <si>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</si>
  <si>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</si>
  <si>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</si>
  <si>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</si>
  <si>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</si>
  <si>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</si>
  <si>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</si>
  <si>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</si>
  <si>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</si>
  <si>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</si>
  <si>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</si>
  <si>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</si>
  <si>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</si>
  <si>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</si>
  <si>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</si>
  <si>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</si>
  <si>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</si>
  <si>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</si>
  <si>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</si>
  <si>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</si>
  <si>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</si>
  <si>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</si>
  <si>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</si>
  <si>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</si>
  <si>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</si>
  <si>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</si>
  <si>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</si>
  <si>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</si>
  <si>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</si>
  <si>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</si>
  <si>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</si>
  <si>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</si>
  <si>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</si>
  <si>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</si>
  <si>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</si>
  <si>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</si>
  <si>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</si>
  <si>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</si>
  <si>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</si>
  <si>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3.直近業績要約　Summary of Recent Operating Results</t>
    <rPh sb="2" eb="4">
      <t>チョッキン</t>
    </rPh>
    <rPh sb="4" eb="6">
      <t>ギョウセキ</t>
    </rPh>
    <rPh sb="6" eb="8">
      <t>ヨウヤク</t>
    </rPh>
    <phoneticPr fontId="2"/>
  </si>
  <si>
    <t>http://www.oracle.com/jp/corporate/investor-relations/index.html</t>
  </si>
  <si>
    <t>2.</t>
  </si>
  <si>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</si>
  <si>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</si>
  <si>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</si>
  <si>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</si>
  <si>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</si>
  <si>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</si>
  <si>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</si>
  <si>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</si>
  <si>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</si>
  <si>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</si>
  <si>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</si>
  <si>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</si>
  <si>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</si>
  <si>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</si>
  <si>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</si>
  <si>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</si>
  <si>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</si>
  <si>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</si>
  <si>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サービス
Services</t>
  </si>
  <si>
    <t>営業利益
Operating income</t>
    <rPh sb="0" eb="2">
      <t>エイギョウ</t>
    </rPh>
    <rPh sb="2" eb="4">
      <t>リエキ</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</si>
  <si>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</si>
  <si>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</si>
  <si>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</si>
  <si>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</si>
  <si>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</si>
  <si>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</si>
  <si>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</si>
  <si>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</si>
  <si>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</si>
  <si>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</si>
  <si>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</si>
  <si>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</si>
  <si>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</si>
  <si>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</si>
  <si>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</si>
  <si>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</si>
  <si>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</si>
  <si>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</si>
  <si>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</si>
  <si>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</si>
  <si>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</si>
  <si>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</si>
  <si>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</si>
  <si>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</si>
  <si>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</si>
  <si>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</si>
  <si>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</si>
  <si>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</si>
  <si>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</si>
  <si>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</si>
  <si>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</si>
  <si>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</si>
  <si>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</si>
  <si>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</si>
  <si>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</si>
  <si>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</si>
  <si>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</si>
  <si>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</si>
  <si>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</si>
  <si>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5.貸借対照表要約　Summary of Balance Sheet</t>
    <rPh sb="2" eb="4">
      <t>タイシャク</t>
    </rPh>
    <rPh sb="4" eb="7">
      <t>タイショウヒョウ</t>
    </rPh>
    <rPh sb="7" eb="9">
      <t>ヨウヤク</t>
    </rPh>
    <phoneticPr fontId="2"/>
  </si>
  <si>
    <t>関係会社短期貸付金</t>
    <rPh sb="0" eb="2">
      <t>カンケイ</t>
    </rPh>
    <rPh sb="2" eb="4">
      <t>カイシャ</t>
    </rPh>
    <rPh sb="4" eb="6">
      <t>タンキ</t>
    </rPh>
    <rPh sb="6" eb="8">
      <t>カシツケ</t>
    </rPh>
    <rPh sb="8" eb="9">
      <t>キン</t>
    </rPh>
    <phoneticPr fontId="2"/>
  </si>
  <si>
    <t>内海 寛子</t>
  </si>
  <si>
    <t>Hiroko Utsumi</t>
  </si>
  <si>
    <t xml:space="preserve"> 業務委託費 (Outsourcing）</t>
    <rPh sb="1" eb="3">
      <t>ギョウム</t>
    </rPh>
    <rPh sb="3" eb="5">
      <t>イタク</t>
    </rPh>
    <rPh sb="5" eb="6">
      <t>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</si>
  <si>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</si>
  <si>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</si>
  <si>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</si>
  <si>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</si>
  <si>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</si>
  <si>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</si>
  <si>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</si>
  <si>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</si>
  <si>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</si>
  <si>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</si>
  <si>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</si>
  <si>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</si>
  <si>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</si>
  <si>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</si>
  <si>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</si>
  <si>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</si>
  <si>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</si>
  <si>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</si>
  <si>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34.0%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</si>
  <si>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</si>
  <si>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Advance payments to suppliers</t>
  </si>
  <si>
    <t>前渡金</t>
    <rPh sb="0" eb="3">
      <t>マエワタシキン</t>
    </rPh>
    <phoneticPr fontId="1"/>
  </si>
  <si>
    <t>Contract liabilities</t>
  </si>
  <si>
    <t>契約負債</t>
    <rPh sb="0" eb="2">
      <t>ケイヤク</t>
    </rPh>
    <rPh sb="2" eb="4">
      <t>フサイ</t>
    </rPh>
    <phoneticPr fontId="2"/>
  </si>
  <si>
    <t>34.1%</t>
  </si>
  <si>
    <t>7.8%</t>
  </si>
  <si>
    <t>2.1%</t>
  </si>
  <si>
    <t>2022/5</t>
  </si>
  <si>
    <t xml:space="preserve">- </t>
  </si>
  <si>
    <t>32.8%</t>
  </si>
  <si>
    <t>7.3%</t>
  </si>
  <si>
    <t>7.0%</t>
  </si>
  <si>
    <t>6.2%</t>
  </si>
  <si>
    <t>20.1%</t>
  </si>
  <si>
    <t>8.4%</t>
  </si>
  <si>
    <t>5.7%</t>
  </si>
  <si>
    <t>4.8%</t>
  </si>
  <si>
    <t>8.3%</t>
  </si>
  <si>
    <t>クラウドサービス
Cloud Services</t>
  </si>
  <si>
    <t>ライセンスサポート
License Support</t>
  </si>
  <si>
    <t>クラウドライセンス＆オンプレミスライセンス
Cloud License &amp; On Premise License</t>
  </si>
  <si>
    <t>2023/5</t>
  </si>
  <si>
    <t>クラウドサービス＆ライセンスサポート
Cloud Services &amp; License Support</t>
  </si>
  <si>
    <t>-</t>
  </si>
  <si>
    <t>Short-term loans receivable from subsidiaries and associates</t>
  </si>
  <si>
    <t>-</t>
  </si>
  <si>
    <t>-</t>
  </si>
  <si>
    <t>32.6%</t>
  </si>
  <si>
    <t>11.9%</t>
  </si>
  <si>
    <t>11.7%</t>
  </si>
  <si>
    <t>11.4%</t>
  </si>
  <si>
    <t>9.6%</t>
  </si>
  <si>
    <t>11.1%</t>
  </si>
  <si>
    <t>22.5%</t>
  </si>
  <si>
    <t>-5.9%</t>
  </si>
  <si>
    <t>-3.9%</t>
  </si>
  <si>
    <t>-5.6%</t>
  </si>
  <si>
    <t>-1.2%</t>
  </si>
  <si>
    <t>13.7%</t>
  </si>
  <si>
    <t>7.6%</t>
  </si>
  <si>
    <t>8.0%</t>
  </si>
  <si>
    <t>-1.8%</t>
  </si>
  <si>
    <t>2.7%</t>
  </si>
  <si>
    <t>4.0%</t>
  </si>
  <si>
    <t>-1.4%</t>
  </si>
  <si>
    <t>0.9%</t>
  </si>
  <si>
    <t>11.0%</t>
  </si>
  <si>
    <t>25.2%</t>
  </si>
  <si>
    <t>12.5%</t>
  </si>
  <si>
    <t>5.8%</t>
  </si>
  <si>
    <t>14.2%</t>
  </si>
  <si>
    <t>2.9%</t>
  </si>
  <si>
    <t>7.7%</t>
  </si>
  <si>
    <t>20.8%</t>
  </si>
  <si>
    <t>-30.0%</t>
  </si>
  <si>
    <t>19.5%</t>
  </si>
  <si>
    <t>32.3%</t>
  </si>
  <si>
    <t>10.5%</t>
  </si>
  <si>
    <t>-16.7%</t>
  </si>
  <si>
    <t>-12.3%</t>
  </si>
  <si>
    <t>0.2%</t>
  </si>
  <si>
    <t>-12.2%</t>
  </si>
  <si>
    <t>-2.2%</t>
  </si>
  <si>
    <t>13.6%</t>
  </si>
  <si>
    <t>30.8%</t>
  </si>
  <si>
    <t>14.4%</t>
  </si>
  <si>
    <t>1.5%</t>
  </si>
  <si>
    <t>＊ FY24配当金内訳は、普通配当174円、特別配当500円、合計674円です。 / Breakdown of Dividends for May 2024; a normal dividend of 174 yen, a special dividend of 500 yen and total dividend is 674 yen.</t>
  </si>
  <si>
    <t>2024/5</t>
  </si>
  <si>
    <t>-</t>
  </si>
  <si>
    <t>ハードウェア･システムズ
Hardware</t>
  </si>
  <si>
    <t xml:space="preserve"> ハードウェア・システムズ仕入原価  (Hardware Purchasing Expenses)</t>
    <rPh sb="13" eb="15">
      <t>ゲンカ</t>
    </rPh>
    <rPh sb="15" eb="16">
      <t>　</t>
    </rPh>
    <rPh sb="16" eb="17">
      <t>（</t>
    </rPh>
    <phoneticPr fontId="2"/>
  </si>
  <si>
    <t>従業員数 / Number of Employees</t>
  </si>
  <si>
    <t>合計
Total Net Sales</t>
    <rPh sb="0" eb="2">
      <t>ゴウケイ</t>
    </rPh>
    <phoneticPr fontId="2"/>
  </si>
  <si>
    <t>セグメント別データおよび営業経費 / Segmental Info and Opex</t>
    <rPh sb="5" eb="6">
      <t>ベツ</t>
    </rPh>
    <rPh sb="12" eb="14">
      <t>エイギョウ</t>
    </rPh>
    <rPh sb="14" eb="16">
      <t>ケイヒ</t>
    </rPh>
    <phoneticPr fontId="2"/>
  </si>
  <si>
    <t>会社概要　Corporate Overview</t>
    <rPh sb="0" eb="2">
      <t>カイシャ</t>
    </rPh>
    <rPh sb="2" eb="4">
      <t>ガイヨウ</t>
    </rPh>
    <phoneticPr fontId="2"/>
  </si>
  <si>
    <t>売上高 / Total Net Sales</t>
    <rPh sb="0" eb="2">
      <t>ウリアゲ</t>
    </rPh>
    <rPh sb="2" eb="3">
      <t>ダカ</t>
    </rPh>
    <phoneticPr fontId="2"/>
  </si>
  <si>
    <t>サービス
Services</t>
  </si>
  <si>
    <t>34.7%</t>
  </si>
  <si>
    <t>32.1%</t>
  </si>
  <si>
    <t>33.0%</t>
  </si>
  <si>
    <t>32.0%</t>
  </si>
  <si>
    <t>-5.5%</t>
  </si>
  <si>
    <t>-25.2%</t>
  </si>
  <si>
    <t>19.9%</t>
  </si>
  <si>
    <t>-15.2%</t>
  </si>
  <si>
    <t>-7.7%</t>
  </si>
  <si>
    <t>9.0%</t>
  </si>
  <si>
    <t>12.6%</t>
  </si>
  <si>
    <t>17.1%</t>
  </si>
  <si>
    <t>3.2%</t>
  </si>
  <si>
    <t>10.3%</t>
  </si>
  <si>
    <t>2.2%</t>
  </si>
  <si>
    <t>4.4%</t>
  </si>
  <si>
    <t>18.4%</t>
  </si>
  <si>
    <t>-0.3%</t>
  </si>
  <si>
    <t>11.6%</t>
  </si>
  <si>
    <t>2.0%</t>
  </si>
  <si>
    <t>-16.0%</t>
  </si>
  <si>
    <t>-9.1%</t>
  </si>
  <si>
    <t>-4.6%</t>
  </si>
  <si>
    <t>-30.5%</t>
  </si>
  <si>
    <t>-17.6%</t>
  </si>
  <si>
    <t>41.1%</t>
  </si>
  <si>
    <t>-6.2%</t>
  </si>
  <si>
    <t>69.8%</t>
  </si>
  <si>
    <t>14.3%</t>
  </si>
  <si>
    <t>22.7%</t>
  </si>
  <si>
    <t>4.3%</t>
  </si>
  <si>
    <t>-2.8%</t>
  </si>
  <si>
    <t>-4.9%</t>
  </si>
  <si>
    <t>4.6%</t>
  </si>
  <si>
    <t>0.6%</t>
  </si>
  <si>
    <t>20.2%</t>
  </si>
  <si>
    <t>-0.7%</t>
  </si>
  <si>
    <t>15.1%</t>
  </si>
  <si>
    <t>2.3%</t>
  </si>
  <si>
    <t>8.8%</t>
  </si>
  <si>
    <t>業績予想 / FY26 Forecast</t>
    <rPh sb="0" eb="2">
      <t>ギョウセキ</t>
    </rPh>
    <rPh sb="2" eb="4">
      <t>ヨソウ</t>
    </rPh>
    <phoneticPr fontId="1"/>
  </si>
  <si>
    <t>売上高 / Revenue</t>
    <rPh sb="0" eb="2">
      <t>ウリアゲ</t>
    </rPh>
    <rPh sb="2" eb="3">
      <t>ダカ</t>
    </rPh>
    <phoneticPr fontId="1"/>
  </si>
  <si>
    <t>1株当たり当期純利益 (円) / EPS (Yen)</t>
    <rPh sb="1" eb="2">
      <t>カブ</t>
    </rPh>
    <rPh sb="2" eb="3">
      <t>ア</t>
    </rPh>
    <rPh sb="5" eb="7">
      <t>トウキ</t>
    </rPh>
    <rPh sb="7" eb="10">
      <t>ジュンリエキ</t>
    </rPh>
    <rPh sb="12" eb="13">
      <t>エン</t>
    </rPh>
    <phoneticPr fontId="1"/>
  </si>
  <si>
    <t>ソフトウェア
Software</t>
  </si>
  <si>
    <t>ハードウェア
Hardware</t>
  </si>
  <si>
    <t xml:space="preserve"> ハードウェア仕入原価  (Hardware Purchasing Expenses)</t>
    <rPh sb="7" eb="9">
      <t>ゲンカ</t>
    </rPh>
    <rPh sb="9" eb="10">
      <t>　</t>
    </rPh>
    <rPh sb="10" eb="11">
      <t>（</t>
    </rPh>
    <phoneticPr fontId="2"/>
  </si>
  <si>
    <t>クラウド＆ライセンス
Cloud &amp; License</t>
  </si>
  <si>
    <t>クラウド
Cloud</t>
  </si>
  <si>
    <t>売上高 Net Sales</t>
    <rPh sb="0" eb="3">
      <t>ウリアゲダカ</t>
    </rPh>
    <phoneticPr fontId="2"/>
  </si>
  <si>
    <t>当期純利益 Profit for the year</t>
    <rPh sb="0" eb="2">
      <t>トウキ</t>
    </rPh>
    <rPh sb="2" eb="5">
      <t>ジュンリエキ</t>
    </rPh>
    <phoneticPr fontId="2"/>
  </si>
  <si>
    <t>●業績推移  Net Sales and Profit for the year</t>
    <rPh sb="1" eb="3">
      <t>ギョウセキ</t>
    </rPh>
    <rPh sb="3" eb="5">
      <t>スイイ</t>
    </rPh>
    <phoneticPr fontId="2"/>
  </si>
  <si>
    <t>＊ 設備投資額には差入保証金を含みます / Capital expenditure includes lease deposits.</t>
  </si>
  <si>
    <t>2025/5</t>
  </si>
  <si>
    <t>-</t>
  </si>
  <si>
    <t>ソフトウェア・ライセンス
Software license</t>
  </si>
  <si>
    <t>ソフトウェア・サポート
Software support</t>
  </si>
  <si>
    <t>＊ 予想実効税率 estimation of effective tax rate＝30.7％</t>
    <rPh sb="2" eb="4">
      <t>ヨソウ</t>
    </rPh>
    <rPh sb="4" eb="6">
      <t>ジッコウ</t>
    </rPh>
    <rPh sb="6" eb="8">
      <t>ゼイリツ</t>
    </rPh>
    <phoneticPr fontId="2"/>
  </si>
  <si>
    <t>クラウド・アンド・ソフトウェア
Cloud and software</t>
  </si>
  <si>
    <t>当第1四半期会計期間より、収益の分解情報を業績の管理区分の変更に合わせて表示することにし、報告セグメントである「クラウド・アンド・ソフトウェア」を「クラウド」、「ソフトウェア」の区分に変更して表示しています。また、「ソフトウェア」は、「ソフトウェア・ライセンス」、「ソフトウェア・サポート」で構成されております。なお、前会計期間の情報は、変更後の区分方法により作成したものを記載しています。/ Starting from the first quarter of the current fiscal year, we have decided to present the breakdown of revenues in alignment with changes in our performance management categories. The revenue breakdown of the reportable segment "Cloud and software" is now presented as "Cloud" and "Software". "Software" consists of "Software license" and "Software support". The breakdown of revenues for the previous fiscal year is presented using the new classification method.</t>
  </si>
  <si>
    <t>2026年5月期(FY26)第2四半期　業績補足資料</t>
    <rPh sb="4" eb="5">
      <t>ネン</t>
    </rPh>
    <rPh sb="7" eb="8">
      <t>キ</t>
    </rPh>
    <rPh sb="14" eb="15">
      <t>ダイ</t>
    </rPh>
    <rPh sb="16" eb="17">
      <t>シ</t>
    </rPh>
    <rPh sb="17" eb="19">
      <t>ハンキ</t>
    </rPh>
    <rPh sb="20" eb="22">
      <t>ギョウセキ</t>
    </rPh>
    <rPh sb="22" eb="24">
      <t>ホソク</t>
    </rPh>
    <phoneticPr fontId="2"/>
  </si>
  <si>
    <t>2nd Quarter, Fiscal Year ending May 2026 (FY26) Business Results</t>
  </si>
  <si>
    <t>2025年11月30日現在 / as of November 30, 2025</t>
    <rPh sb="4" eb="5">
      <t>ネン</t>
    </rPh>
    <phoneticPr fontId="2"/>
  </si>
  <si>
    <t>2025/11</t>
  </si>
  <si>
    <t/>
  </si>
  <si>
    <t>-7.6%</t>
  </si>
  <si>
    <t>3.8%</t>
  </si>
  <si>
    <t>-2.1%</t>
  </si>
  <si>
    <t>3.9%</t>
  </si>
  <si>
    <t>8.6%</t>
  </si>
  <si>
    <t>-4.1%</t>
  </si>
  <si>
    <t>-5.2%</t>
  </si>
  <si>
    <t>6.9%</t>
  </si>
  <si>
    <t>4.1%</t>
  </si>
  <si>
    <t>3.7%</t>
  </si>
  <si>
    <t>7.5%</t>
  </si>
  <si>
    <t>-3.8%</t>
  </si>
  <si>
    <t>12.0%</t>
  </si>
  <si>
    <t>3.6%</t>
  </si>
  <si>
    <t>-8.0%</t>
  </si>
  <si>
    <t>-6.3%</t>
  </si>
  <si>
    <t>-7.2%</t>
  </si>
  <si>
    <t>9.8%</t>
  </si>
  <si>
    <t>21.3%</t>
  </si>
  <si>
    <t>59.8%</t>
  </si>
  <si>
    <t>39.0%</t>
  </si>
  <si>
    <t>-4.8%</t>
  </si>
  <si>
    <t>9.2%</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</si>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</sst>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6">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6"/>
      <color theme="1"/>
      <name val="Meiryo UI"/>
      <family val="3"/>
      <charset val="128"/>
    </font>
    <font>
      <sz val="11"/>
      <name val="ＭＳ Ｐゴシック"/>
      <family val="3"/>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99"/>
        <bgColor indexed="64"/>
      </patternFill>
    </fill>
    <fill>
      <patternFill patternType="solid">
        <fgColor theme="9" tint="0.59978026673177287"/>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style="medium">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medium">
        <color auto="1"/>
      </left>
      <right/>
      <top/>
      <bottom style="medium">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hair">
        <color auto="1"/>
      </top>
      <bottom/>
      <diagonal/>
    </border>
    <border>
      <left/>
      <right/>
      <top style="hair">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right style="medium">
        <color auto="1"/>
      </right>
      <top style="thin">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style="hair">
        <color auto="1"/>
      </bottom>
      <diagonal/>
    </border>
    <border>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theme="0"/>
      </right>
      <top style="thin">
        <color auto="1"/>
      </top>
      <bottom style="medium">
        <color auto="1"/>
      </bottom>
      <diagonal/>
    </border>
    <border>
      <left style="thin">
        <color theme="0"/>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style="hair">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hair">
        <color auto="1"/>
      </bottom>
      <diagonal/>
    </border>
  </borders>
  <cellStyleXfs count="340">
    <xf numFmtId="0" fontId="0" fillId="0" borderId="0"/>
    <xf numFmtId="9" fontId="125" fillId="0" borderId="0" applyFont="0" applyFill="0" applyBorder="0" applyAlignment="0" applyProtection="0"/>
    <xf numFmtId="38" fontId="125"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5"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5"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5"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615">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6" xfId="0" applyNumberFormat="1" applyFont="1" applyFill="1" applyBorder="1" applyAlignment="1"/>
    <xf numFmtId="38" fontId="26" fillId="0" borderId="27" xfId="2" applyFont="1" applyFill="1" applyBorder="1" applyAlignment="1">
      <alignment horizontal="center"/>
    </xf>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29" borderId="28" xfId="2" applyFont="1" applyFill="1" applyBorder="1" applyAlignment="1">
      <alignment horizontal="center"/>
    </xf>
    <xf numFmtId="184" fontId="26" fillId="0" borderId="29"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0" xfId="2" applyFont="1" applyFill="1" applyBorder="1" applyAlignment="1">
      <alignment horizontal="right"/>
    </xf>
    <xf numFmtId="38" fontId="26" fillId="29" borderId="31" xfId="2" applyFont="1" applyFill="1" applyBorder="1" applyAlignment="1">
      <alignment horizontal="right"/>
    </xf>
    <xf numFmtId="38" fontId="26" fillId="0" borderId="32" xfId="2" applyFont="1" applyFill="1" applyBorder="1" applyAlignment="1">
      <alignment horizontal="right"/>
    </xf>
    <xf numFmtId="182" fontId="26" fillId="0" borderId="33" xfId="1" applyNumberFormat="1" applyFont="1" applyFill="1" applyBorder="1" applyAlignment="1">
      <alignment horizontal="right"/>
    </xf>
    <xf numFmtId="182" fontId="26" fillId="0" borderId="34" xfId="1" applyNumberFormat="1" applyFont="1" applyFill="1" applyBorder="1" applyAlignment="1">
      <alignment horizontal="right"/>
    </xf>
    <xf numFmtId="182" fontId="26" fillId="29" borderId="35" xfId="1" applyNumberFormat="1" applyFont="1" applyFill="1" applyBorder="1" applyAlignment="1">
      <alignment horizontal="right"/>
    </xf>
    <xf numFmtId="182" fontId="26" fillId="0" borderId="30" xfId="1" applyNumberFormat="1" applyFont="1" applyFill="1" applyBorder="1" applyAlignment="1">
      <alignment horizontal="right"/>
    </xf>
    <xf numFmtId="182" fontId="26" fillId="0" borderId="36"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29" borderId="38" xfId="1" applyNumberFormat="1" applyFont="1" applyFill="1" applyBorder="1" applyAlignment="1">
      <alignment horizontal="right"/>
    </xf>
    <xf numFmtId="38" fontId="26" fillId="29" borderId="39" xfId="2" applyFont="1" applyFill="1" applyBorder="1" applyAlignment="1">
      <alignment horizontal="right"/>
    </xf>
    <xf numFmtId="182" fontId="26" fillId="29" borderId="40" xfId="1" applyNumberFormat="1" applyFont="1" applyFill="1" applyBorder="1" applyAlignment="1">
      <alignment horizontal="right"/>
    </xf>
    <xf numFmtId="182" fontId="26" fillId="29" borderId="41" xfId="1" applyNumberFormat="1" applyFont="1" applyFill="1" applyBorder="1" applyAlignment="1">
      <alignment horizontal="right"/>
    </xf>
    <xf numFmtId="182" fontId="26" fillId="29" borderId="42"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3" xfId="0" applyFont="1" applyBorder="1" applyAlignment="1">
      <alignment horizontal="left"/>
    </xf>
    <xf numFmtId="3" fontId="26" fillId="0" borderId="32" xfId="2" applyNumberFormat="1" applyFont="1" applyFill="1" applyBorder="1" applyAlignment="1">
      <alignment horizontal="right"/>
    </xf>
    <xf numFmtId="3" fontId="26" fillId="29" borderId="39" xfId="2" applyNumberFormat="1" applyFont="1" applyFill="1" applyBorder="1" applyAlignment="1">
      <alignment horizontal="right"/>
    </xf>
    <xf numFmtId="0" fontId="26" fillId="0" borderId="44" xfId="0" applyFont="1" applyFill="1" applyBorder="1" applyAlignment="1">
      <alignment horizontal="left"/>
    </xf>
    <xf numFmtId="0" fontId="26" fillId="0" borderId="37" xfId="0" applyFont="1" applyFill="1" applyBorder="1" applyAlignment="1">
      <alignment horizontal="right"/>
    </xf>
    <xf numFmtId="38" fontId="26" fillId="0" borderId="37"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0" borderId="0" xfId="0" applyFont="1" applyFill="1" applyAlignment="1">
      <alignment horizontal="left"/>
    </xf>
    <xf numFmtId="184" fontId="26" fillId="0" borderId="45" xfId="0" applyNumberFormat="1" applyFont="1" applyFill="1" applyBorder="1" applyAlignment="1"/>
    <xf numFmtId="38" fontId="25" fillId="0" borderId="0" xfId="2" applyFont="1" applyFill="1" applyAlignment="1">
      <alignment horizontal="center"/>
    </xf>
    <xf numFmtId="38" fontId="26" fillId="0" borderId="46" xfId="2" applyFont="1" applyFill="1" applyBorder="1" applyAlignment="1">
      <alignment horizontal="center"/>
    </xf>
    <xf numFmtId="182" fontId="26" fillId="0" borderId="17" xfId="1" applyNumberFormat="1" applyFont="1" applyFill="1" applyBorder="1" applyAlignment="1">
      <alignment horizontal="right"/>
    </xf>
    <xf numFmtId="0" fontId="26" fillId="0" borderId="47" xfId="0" applyFont="1" applyFill="1" applyBorder="1" applyAlignment="1">
      <alignment horizontal="right"/>
    </xf>
    <xf numFmtId="38" fontId="26" fillId="29" borderId="48" xfId="2" applyFont="1" applyFill="1" applyBorder="1" applyAlignment="1">
      <alignment horizontal="right"/>
    </xf>
    <xf numFmtId="38" fontId="26" fillId="29" borderId="42" xfId="2" applyFont="1" applyFill="1" applyBorder="1" applyAlignment="1">
      <alignment horizontal="right" wrapText="1"/>
    </xf>
    <xf numFmtId="38" fontId="26" fillId="29" borderId="31" xfId="0" applyNumberFormat="1" applyFont="1" applyFill="1" applyBorder="1" applyAlignment="1">
      <alignment horizontal="right"/>
    </xf>
    <xf numFmtId="38" fontId="17" fillId="31" borderId="28" xfId="2" applyFont="1" applyFill="1" applyBorder="1" applyAlignment="1">
      <alignment horizontal="center"/>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3" xfId="0" applyFont="1" applyFill="1" applyBorder="1" applyAlignment="1">
      <alignment vertical="center"/>
    </xf>
    <xf numFmtId="183" fontId="7" fillId="0" borderId="23"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22" fillId="0" borderId="0" xfId="2" applyFont="1" applyFill="1" applyBorder="1" applyAlignment="1">
      <alignment vertical="center"/>
    </xf>
    <xf numFmtId="38" fontId="17" fillId="32" borderId="49" xfId="2" applyFont="1" applyFill="1" applyBorder="1" applyAlignment="1" applyProtection="1">
      <alignment horizontal="right"/>
      <protection locked="0"/>
    </xf>
    <xf numFmtId="38" fontId="17" fillId="32" borderId="48" xfId="2" applyFont="1" applyFill="1" applyBorder="1" applyAlignment="1" applyProtection="1">
      <alignment horizontal="right"/>
      <protection locked="0"/>
    </xf>
    <xf numFmtId="38" fontId="17" fillId="32" borderId="50"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51" xfId="0" applyNumberFormat="1" applyFont="1" applyFill="1" applyBorder="1" applyAlignment="1" applyProtection="1">
      <alignment horizontal="center"/>
      <protection locked="0"/>
    </xf>
    <xf numFmtId="49" fontId="7" fillId="23" borderId="52"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4" xfId="2" applyNumberFormat="1" applyFont="1" applyFill="1" applyBorder="1" applyAlignment="1" applyProtection="1">
      <protection locked="0"/>
    </xf>
    <xf numFmtId="222" fontId="7" fillId="0" borderId="33" xfId="2" applyNumberFormat="1" applyFont="1" applyFill="1" applyBorder="1" applyAlignment="1" applyProtection="1">
      <protection locked="0"/>
    </xf>
    <xf numFmtId="40" fontId="7" fillId="0" borderId="34" xfId="2" applyNumberFormat="1" applyFont="1" applyFill="1" applyBorder="1" applyAlignment="1" applyProtection="1">
      <alignment horizontal="right"/>
      <protection locked="0"/>
    </xf>
    <xf numFmtId="40" fontId="7" fillId="0" borderId="33"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1"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53" xfId="0" applyFont="1" applyBorder="1" applyAlignment="1" applyProtection="1">
      <protection locked="0"/>
    </xf>
    <xf numFmtId="0" fontId="24" fillId="0" borderId="0" xfId="0" applyFont="1" applyBorder="1" applyAlignment="1" applyProtection="1">
      <protection locked="0"/>
    </xf>
    <xf numFmtId="0" fontId="117" fillId="0" borderId="54" xfId="0" applyFont="1" applyBorder="1" applyAlignment="1" applyProtection="1">
      <protection locked="0"/>
    </xf>
    <xf numFmtId="0" fontId="117" fillId="0" borderId="55" xfId="0" applyFont="1" applyBorder="1" applyAlignment="1" applyProtection="1">
      <protection locked="0"/>
    </xf>
    <xf numFmtId="0" fontId="117" fillId="0" borderId="53" xfId="0" applyFont="1" applyBorder="1" applyAlignment="1" applyProtection="1">
      <protection locked="0"/>
    </xf>
    <xf numFmtId="0" fontId="117" fillId="0" borderId="0" xfId="0" applyFont="1" applyBorder="1" applyAlignment="1" applyProtection="1">
      <protection locked="0"/>
    </xf>
    <xf numFmtId="182" fontId="117" fillId="0" borderId="56" xfId="1" applyNumberFormat="1" applyFont="1" applyBorder="1" applyAlignment="1" applyProtection="1">
      <protection locked="0"/>
    </xf>
    <xf numFmtId="182" fontId="117" fillId="0" borderId="57" xfId="1" applyNumberFormat="1" applyFont="1" applyBorder="1" applyAlignment="1" applyProtection="1">
      <protection locked="0"/>
    </xf>
    <xf numFmtId="0" fontId="117" fillId="0" borderId="25" xfId="0" applyFont="1" applyBorder="1" applyAlignment="1" applyProtection="1">
      <protection locked="0"/>
    </xf>
    <xf numFmtId="0" fontId="117" fillId="0" borderId="13" xfId="0" applyFont="1" applyBorder="1" applyAlignment="1" applyProtection="1">
      <protection locked="0"/>
    </xf>
    <xf numFmtId="0" fontId="117" fillId="0" borderId="22"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4" xfId="0" applyFont="1" applyBorder="1" applyAlignment="1" applyProtection="1">
      <protection locked="0"/>
    </xf>
    <xf numFmtId="0" fontId="117" fillId="0" borderId="23" xfId="0" applyFont="1" applyBorder="1" applyAlignment="1" applyProtection="1">
      <protection locked="0"/>
    </xf>
    <xf numFmtId="0" fontId="118" fillId="23" borderId="29" xfId="0" applyFont="1" applyFill="1" applyBorder="1" applyAlignment="1" applyProtection="1">
      <protection locked="0"/>
    </xf>
    <xf numFmtId="0" fontId="118" fillId="23" borderId="54" xfId="0" applyFont="1" applyFill="1" applyBorder="1" applyAlignment="1" applyProtection="1">
      <protection locked="0"/>
    </xf>
    <xf numFmtId="0" fontId="121" fillId="0" borderId="0" xfId="0" applyFont="1" applyAlignment="1" applyProtection="1"/>
    <xf numFmtId="38" fontId="17" fillId="0" borderId="45" xfId="2" applyFont="1" applyFill="1" applyBorder="1" applyAlignment="1" applyProtection="1">
      <protection locked="0"/>
    </xf>
    <xf numFmtId="184" fontId="120" fillId="0" borderId="26" xfId="0" applyNumberFormat="1" applyFont="1" applyBorder="1" applyAlignment="1" applyProtection="1">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184" fontId="17" fillId="0" borderId="29" xfId="0" applyNumberFormat="1" applyFont="1" applyFill="1" applyBorder="1" applyAlignment="1" applyProtection="1">
      <protection locked="0"/>
    </xf>
    <xf numFmtId="38" fontId="17" fillId="0" borderId="0" xfId="2" applyFont="1" applyFill="1" applyAlignment="1" applyProtection="1">
      <protection locked="0"/>
    </xf>
    <xf numFmtId="184" fontId="17" fillId="0" borderId="45" xfId="0" applyNumberFormat="1" applyFont="1" applyFill="1" applyBorder="1" applyAlignment="1" applyProtection="1">
      <protection locked="0"/>
    </xf>
    <xf numFmtId="38" fontId="17" fillId="0" borderId="0" xfId="2" applyFont="1" applyFill="1" applyAlignment="1" applyProtection="1">
      <alignment horizontal="center"/>
      <protection locked="0"/>
    </xf>
    <xf numFmtId="0" fontId="26" fillId="0" borderId="58" xfId="0" applyFont="1" applyBorder="1" applyAlignment="1">
      <alignment horizontal="left"/>
    </xf>
    <xf numFmtId="0" fontId="26" fillId="0" borderId="59" xfId="0" applyFont="1" applyFill="1" applyBorder="1" applyAlignment="1">
      <alignment horizontal="left"/>
    </xf>
    <xf numFmtId="38" fontId="26" fillId="29" borderId="60" xfId="0" applyNumberFormat="1" applyFont="1" applyFill="1" applyBorder="1" applyAlignment="1">
      <alignment horizontal="right"/>
    </xf>
    <xf numFmtId="49" fontId="7" fillId="0" borderId="5" xfId="0" applyNumberFormat="1" applyFont="1" applyFill="1" applyBorder="1" applyAlignment="1" applyProtection="1">
      <alignment horizontal="center" vertical="center"/>
    </xf>
    <xf numFmtId="183" fontId="7" fillId="0" borderId="0" xfId="2" applyNumberFormat="1" applyFont="1" applyFill="1" applyAlignment="1" applyProtection="1">
      <alignment vertical="center"/>
    </xf>
    <xf numFmtId="183" fontId="7" fillId="0" borderId="0" xfId="2" quotePrefix="1" applyNumberFormat="1" applyFont="1" applyFill="1" applyAlignment="1" applyProtection="1">
      <alignment horizontal="right" vertical="center"/>
    </xf>
    <xf numFmtId="183" fontId="7" fillId="0" borderId="0" xfId="2" applyNumberFormat="1" applyFont="1" applyFill="1" applyAlignment="1" applyProtection="1">
      <alignment horizontal="right" vertical="center"/>
    </xf>
    <xf numFmtId="183" fontId="13" fillId="0" borderId="0" xfId="2" applyNumberFormat="1" applyFont="1" applyFill="1" applyBorder="1" applyAlignment="1" applyProtection="1">
      <alignment vertical="center"/>
    </xf>
    <xf numFmtId="183" fontId="7" fillId="0" borderId="3" xfId="2" applyNumberFormat="1" applyFont="1" applyFill="1" applyBorder="1" applyAlignment="1" applyProtection="1">
      <alignment vertical="center"/>
    </xf>
    <xf numFmtId="183" fontId="7" fillId="0" borderId="0" xfId="2" applyNumberFormat="1" applyFont="1" applyFill="1" applyBorder="1" applyAlignment="1" applyProtection="1">
      <alignment vertical="center"/>
    </xf>
    <xf numFmtId="183" fontId="7" fillId="0" borderId="0" xfId="2" applyNumberFormat="1" applyFont="1" applyFill="1" applyBorder="1" applyAlignment="1" applyProtection="1">
      <alignment horizontal="right" vertical="center"/>
    </xf>
    <xf numFmtId="38" fontId="7" fillId="0" borderId="13" xfId="2" applyFont="1" applyFill="1" applyBorder="1" applyAlignment="1" applyProtection="1">
      <alignment vertical="center"/>
    </xf>
    <xf numFmtId="38" fontId="13" fillId="0" borderId="13" xfId="2" applyFont="1" applyFill="1" applyBorder="1" applyAlignment="1" applyProtection="1">
      <alignment vertical="center"/>
    </xf>
    <xf numFmtId="183" fontId="7" fillId="0" borderId="0" xfId="2" applyNumberFormat="1" applyFont="1" applyFill="1" applyAlignment="1" applyProtection="1">
      <alignment vertical="center"/>
      <protection locked="0"/>
    </xf>
    <xf numFmtId="183" fontId="7" fillId="0" borderId="0" xfId="2" quotePrefix="1" applyNumberFormat="1" applyFont="1" applyFill="1" applyAlignment="1" applyProtection="1">
      <alignment horizontal="right" vertical="center"/>
      <protection locked="0"/>
    </xf>
    <xf numFmtId="183" fontId="7" fillId="0" borderId="0" xfId="2" applyNumberFormat="1" applyFont="1" applyFill="1" applyAlignment="1" applyProtection="1">
      <alignment horizontal="right" vertical="center"/>
      <protection locked="0"/>
    </xf>
    <xf numFmtId="183" fontId="13" fillId="0" borderId="0" xfId="2" applyNumberFormat="1" applyFont="1" applyFill="1" applyBorder="1" applyAlignment="1" applyProtection="1">
      <alignment vertical="center"/>
      <protection locked="0"/>
    </xf>
    <xf numFmtId="183" fontId="7" fillId="0" borderId="3"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horizontal="right" vertical="center"/>
      <protection locked="0"/>
    </xf>
    <xf numFmtId="38" fontId="13" fillId="0" borderId="13" xfId="2" applyFont="1" applyFill="1" applyBorder="1" applyAlignment="1" applyProtection="1">
      <alignment vertical="center"/>
      <protection locked="0"/>
    </xf>
    <xf numFmtId="0" fontId="8" fillId="0" borderId="0" xfId="0" applyFont="1" applyFill="1" applyAlignment="1" applyProtection="1">
      <alignment vertical="center"/>
      <protection locked="0"/>
    </xf>
    <xf numFmtId="183" fontId="7" fillId="0" borderId="23" xfId="2" applyNumberFormat="1" applyFont="1" applyFill="1" applyBorder="1" applyAlignment="1" applyProtection="1">
      <alignment horizontal="right" vertical="center"/>
      <protection locked="0"/>
    </xf>
    <xf numFmtId="183" fontId="7" fillId="0" borderId="17" xfId="2" applyNumberFormat="1" applyFont="1" applyFill="1" applyBorder="1" applyAlignment="1" applyProtection="1">
      <alignment horizontal="right" vertical="center"/>
      <protection locked="0"/>
    </xf>
    <xf numFmtId="183" fontId="7" fillId="0" borderId="13" xfId="2" applyNumberFormat="1" applyFont="1" applyFill="1" applyBorder="1" applyAlignment="1" applyProtection="1">
      <alignment horizontal="right" vertical="center"/>
      <protection locked="0"/>
    </xf>
    <xf numFmtId="183" fontId="13" fillId="0" borderId="13" xfId="2" applyNumberFormat="1" applyFont="1" applyFill="1" applyBorder="1" applyAlignment="1" applyProtection="1">
      <alignment horizontal="right" vertical="center"/>
      <protection locked="0"/>
    </xf>
    <xf numFmtId="184" fontId="17" fillId="0" borderId="45" xfId="0" applyNumberFormat="1" applyFont="1" applyFill="1" applyBorder="1" applyAlignment="1" applyProtection="1"/>
    <xf numFmtId="184" fontId="17" fillId="0" borderId="45" xfId="0" applyNumberFormat="1" applyFont="1" applyFill="1" applyBorder="1" applyAlignment="1" applyProtection="1">
      <alignment horizontal="center"/>
    </xf>
    <xf numFmtId="38" fontId="17" fillId="0" borderId="45" xfId="2" applyFont="1" applyFill="1" applyBorder="1" applyAlignment="1" applyProtection="1"/>
    <xf numFmtId="184" fontId="120" fillId="0" borderId="45" xfId="0" applyNumberFormat="1" applyFont="1" applyFill="1" applyBorder="1" applyAlignment="1" applyProtection="1"/>
    <xf numFmtId="184" fontId="17" fillId="0" borderId="29" xfId="0" applyNumberFormat="1" applyFont="1" applyBorder="1" applyAlignment="1" applyProtection="1">
      <alignment horizontal="center"/>
    </xf>
    <xf numFmtId="184" fontId="17" fillId="0" borderId="61" xfId="0" applyNumberFormat="1" applyFont="1" applyBorder="1" applyAlignment="1" applyProtection="1">
      <alignment horizontal="center"/>
    </xf>
    <xf numFmtId="184" fontId="17" fillId="0" borderId="26" xfId="0" applyNumberFormat="1" applyFont="1" applyBorder="1" applyAlignment="1" applyProtection="1">
      <alignment horizontal="center"/>
    </xf>
    <xf numFmtId="38" fontId="17" fillId="0" borderId="27" xfId="2" applyFont="1" applyFill="1" applyBorder="1" applyAlignment="1" applyProtection="1">
      <alignment horizontal="center"/>
    </xf>
    <xf numFmtId="38" fontId="17" fillId="31" borderId="46" xfId="2" applyFont="1" applyFill="1" applyBorder="1" applyAlignment="1" applyProtection="1">
      <alignment horizontal="center"/>
    </xf>
    <xf numFmtId="38" fontId="17" fillId="0" borderId="62" xfId="2" applyFont="1" applyFill="1" applyBorder="1" applyAlignment="1" applyProtection="1">
      <alignment horizontal="center"/>
    </xf>
    <xf numFmtId="38" fontId="17" fillId="0" borderId="28" xfId="2" applyFont="1" applyFill="1" applyBorder="1" applyAlignment="1" applyProtection="1">
      <alignment horizontal="center"/>
    </xf>
    <xf numFmtId="38" fontId="17" fillId="0" borderId="63" xfId="2" applyFont="1" applyFill="1" applyBorder="1" applyAlignment="1" applyProtection="1">
      <alignment horizontal="right"/>
    </xf>
    <xf numFmtId="38" fontId="17" fillId="31" borderId="3" xfId="2" applyFont="1" applyFill="1" applyBorder="1" applyAlignment="1" applyProtection="1">
      <alignment horizontal="right"/>
    </xf>
    <xf numFmtId="38" fontId="17" fillId="0" borderId="64" xfId="2" applyFont="1" applyFill="1" applyBorder="1" applyAlignment="1" applyProtection="1">
      <alignment horizontal="right"/>
    </xf>
    <xf numFmtId="38" fontId="17" fillId="0" borderId="65" xfId="2" applyFont="1" applyFill="1" applyBorder="1" applyAlignment="1" applyProtection="1">
      <alignment horizontal="right"/>
    </xf>
    <xf numFmtId="38" fontId="17" fillId="0" borderId="32" xfId="2" applyFont="1" applyFill="1" applyBorder="1" applyAlignment="1" applyProtection="1">
      <alignment horizontal="right"/>
    </xf>
    <xf numFmtId="38" fontId="17" fillId="31" borderId="23" xfId="2" applyFont="1" applyFill="1" applyBorder="1" applyAlignment="1" applyProtection="1">
      <alignment horizontal="right"/>
    </xf>
    <xf numFmtId="38" fontId="17" fillId="0" borderId="66" xfId="2" applyFont="1" applyFill="1" applyBorder="1" applyAlignment="1" applyProtection="1">
      <alignment horizontal="right"/>
    </xf>
    <xf numFmtId="38" fontId="17" fillId="0" borderId="60" xfId="2" applyFont="1" applyFill="1" applyBorder="1" applyAlignment="1" applyProtection="1">
      <alignment horizontal="right"/>
    </xf>
    <xf numFmtId="38" fontId="17" fillId="0" borderId="67" xfId="2" applyFont="1" applyFill="1" applyBorder="1" applyAlignment="1" applyProtection="1">
      <alignment horizontal="right"/>
    </xf>
    <xf numFmtId="38" fontId="17" fillId="31" borderId="68" xfId="2" applyFont="1" applyFill="1" applyBorder="1" applyAlignment="1" applyProtection="1">
      <alignment horizontal="right"/>
    </xf>
    <xf numFmtId="182" fontId="24" fillId="0" borderId="34" xfId="1" applyNumberFormat="1" applyFont="1" applyFill="1" applyBorder="1" applyAlignment="1" applyProtection="1">
      <alignment horizontal="right"/>
    </xf>
    <xf numFmtId="182" fontId="24" fillId="31" borderId="17" xfId="1" applyNumberFormat="1" applyFont="1" applyFill="1" applyBorder="1" applyAlignment="1" applyProtection="1">
      <alignment horizontal="right"/>
    </xf>
    <xf numFmtId="182" fontId="24" fillId="0" borderId="69" xfId="1" applyNumberFormat="1" applyFont="1" applyFill="1" applyBorder="1" applyAlignment="1" applyProtection="1">
      <alignment horizontal="right"/>
    </xf>
    <xf numFmtId="182" fontId="24" fillId="0" borderId="70" xfId="1" applyNumberFormat="1" applyFont="1" applyFill="1" applyBorder="1" applyAlignment="1" applyProtection="1">
      <alignment horizontal="right"/>
    </xf>
    <xf numFmtId="182" fontId="24" fillId="0" borderId="71" xfId="1" applyNumberFormat="1" applyFont="1" applyFill="1" applyBorder="1" applyAlignment="1" applyProtection="1">
      <alignment horizontal="right"/>
    </xf>
    <xf numFmtId="38" fontId="17" fillId="0" borderId="27" xfId="2" applyFont="1" applyFill="1" applyBorder="1" applyAlignment="1" applyProtection="1">
      <alignment horizontal="right"/>
    </xf>
    <xf numFmtId="38" fontId="17" fillId="31" borderId="46" xfId="2" applyFont="1" applyFill="1" applyBorder="1" applyAlignment="1" applyProtection="1">
      <alignment horizontal="right"/>
    </xf>
    <xf numFmtId="38" fontId="17" fillId="0" borderId="62" xfId="2" applyFont="1" applyFill="1" applyBorder="1" applyAlignment="1" applyProtection="1">
      <alignment horizontal="right"/>
    </xf>
    <xf numFmtId="38" fontId="17" fillId="0" borderId="28" xfId="2" applyFont="1" applyFill="1" applyBorder="1" applyAlignment="1" applyProtection="1">
      <alignment horizontal="right"/>
    </xf>
    <xf numFmtId="38" fontId="17" fillId="0" borderId="34" xfId="2" applyFont="1" applyFill="1" applyBorder="1" applyAlignment="1" applyProtection="1">
      <alignment horizontal="right"/>
    </xf>
    <xf numFmtId="38" fontId="17" fillId="31" borderId="17" xfId="2" applyNumberFormat="1" applyFont="1" applyFill="1" applyBorder="1" applyAlignment="1" applyProtection="1">
      <alignment horizontal="right"/>
    </xf>
    <xf numFmtId="38" fontId="17" fillId="0" borderId="72" xfId="2" applyFont="1" applyFill="1" applyBorder="1" applyAlignment="1" applyProtection="1">
      <alignment horizontal="right"/>
    </xf>
    <xf numFmtId="38" fontId="17" fillId="0" borderId="35" xfId="2" applyFont="1" applyFill="1" applyBorder="1" applyAlignment="1" applyProtection="1">
      <alignment horizontal="right"/>
    </xf>
    <xf numFmtId="38" fontId="24" fillId="0" borderId="30" xfId="2" applyFont="1" applyFill="1" applyBorder="1" applyAlignment="1" applyProtection="1">
      <alignment horizontal="right"/>
    </xf>
    <xf numFmtId="38" fontId="17" fillId="31" borderId="55" xfId="2" applyFont="1" applyFill="1" applyBorder="1" applyAlignment="1" applyProtection="1">
      <alignment horizontal="right"/>
    </xf>
    <xf numFmtId="38" fontId="24" fillId="0" borderId="73" xfId="2" applyFont="1" applyFill="1" applyBorder="1" applyAlignment="1" applyProtection="1">
      <alignment horizontal="right"/>
    </xf>
    <xf numFmtId="38" fontId="24" fillId="0" borderId="31" xfId="2" applyFont="1" applyFill="1" applyBorder="1" applyAlignment="1" applyProtection="1">
      <alignment horizontal="right"/>
    </xf>
    <xf numFmtId="38" fontId="24" fillId="0" borderId="10" xfId="2" applyFont="1" applyFill="1" applyBorder="1" applyAlignment="1" applyProtection="1">
      <alignment horizontal="right"/>
    </xf>
    <xf numFmtId="38" fontId="17" fillId="31" borderId="55" xfId="2" applyNumberFormat="1" applyFont="1" applyFill="1" applyBorder="1" applyAlignment="1" applyProtection="1">
      <alignment horizontal="right"/>
    </xf>
    <xf numFmtId="38" fontId="24" fillId="0" borderId="43" xfId="2" applyFont="1" applyFill="1" applyBorder="1" applyAlignment="1" applyProtection="1">
      <alignment horizontal="right"/>
    </xf>
    <xf numFmtId="38" fontId="24" fillId="0" borderId="55" xfId="2" applyFont="1" applyFill="1" applyBorder="1" applyAlignment="1" applyProtection="1">
      <alignment horizontal="right"/>
    </xf>
    <xf numFmtId="38" fontId="17" fillId="0" borderId="30" xfId="2" applyFont="1" applyFill="1" applyBorder="1" applyAlignment="1" applyProtection="1">
      <alignment horizontal="right"/>
    </xf>
    <xf numFmtId="38" fontId="17" fillId="31" borderId="0" xfId="2" applyNumberFormat="1" applyFont="1" applyFill="1" applyBorder="1" applyAlignment="1" applyProtection="1">
      <alignment horizontal="right"/>
    </xf>
    <xf numFmtId="38" fontId="17" fillId="0" borderId="73" xfId="2" applyFont="1" applyFill="1" applyBorder="1" applyAlignment="1" applyProtection="1">
      <alignment horizontal="right"/>
    </xf>
    <xf numFmtId="38" fontId="17" fillId="0" borderId="31" xfId="2" applyFont="1" applyFill="1" applyBorder="1" applyAlignment="1" applyProtection="1">
      <alignment horizontal="right"/>
    </xf>
    <xf numFmtId="38" fontId="17" fillId="31" borderId="23" xfId="2" applyNumberFormat="1" applyFont="1" applyFill="1" applyBorder="1" applyAlignment="1" applyProtection="1">
      <alignment horizontal="right"/>
    </xf>
    <xf numFmtId="38" fontId="17" fillId="0" borderId="61" xfId="2" applyFont="1" applyFill="1" applyBorder="1" applyAlignment="1" applyProtection="1">
      <alignment horizontal="right"/>
    </xf>
    <xf numFmtId="38" fontId="17" fillId="31" borderId="45" xfId="2" applyNumberFormat="1" applyFont="1" applyFill="1" applyBorder="1" applyAlignment="1" applyProtection="1">
      <alignment horizontal="right"/>
    </xf>
    <xf numFmtId="38" fontId="17" fillId="0" borderId="74" xfId="2" applyFont="1" applyBorder="1" applyAlignment="1" applyProtection="1">
      <alignment horizontal="right"/>
    </xf>
    <xf numFmtId="38" fontId="17" fillId="0" borderId="61" xfId="2" applyFont="1" applyBorder="1" applyAlignment="1" applyProtection="1">
      <alignment horizontal="right"/>
    </xf>
    <xf numFmtId="38" fontId="17" fillId="0" borderId="26" xfId="2" applyFont="1" applyFill="1" applyBorder="1" applyAlignment="1" applyProtection="1">
      <alignment horizontal="right"/>
    </xf>
    <xf numFmtId="38" fontId="17" fillId="0" borderId="10" xfId="2" applyFont="1" applyFill="1" applyBorder="1" applyAlignment="1" applyProtection="1">
      <alignment horizontal="right"/>
    </xf>
    <xf numFmtId="38" fontId="17" fillId="31" borderId="6" xfId="2" applyNumberFormat="1" applyFont="1" applyFill="1" applyBorder="1" applyAlignment="1" applyProtection="1">
      <alignment horizontal="right"/>
    </xf>
    <xf numFmtId="38" fontId="17" fillId="0" borderId="43" xfId="2" applyFont="1" applyBorder="1" applyAlignment="1" applyProtection="1">
      <alignment horizontal="right"/>
    </xf>
    <xf numFmtId="38" fontId="17" fillId="0" borderId="10" xfId="2" applyFont="1" applyBorder="1" applyAlignment="1" applyProtection="1">
      <alignment horizontal="right"/>
    </xf>
    <xf numFmtId="38" fontId="17" fillId="0" borderId="55" xfId="2" applyFont="1" applyFill="1" applyBorder="1" applyAlignment="1" applyProtection="1">
      <alignment horizontal="right"/>
    </xf>
    <xf numFmtId="222" fontId="17" fillId="0" borderId="10" xfId="2" applyNumberFormat="1" applyFont="1" applyFill="1" applyBorder="1" applyAlignment="1" applyProtection="1">
      <alignment horizontal="right"/>
    </xf>
    <xf numFmtId="222" fontId="17" fillId="31" borderId="6" xfId="2" applyNumberFormat="1" applyFont="1" applyFill="1" applyBorder="1" applyAlignment="1" applyProtection="1">
      <alignment horizontal="right"/>
    </xf>
    <xf numFmtId="222" fontId="17" fillId="0" borderId="43" xfId="2" applyNumberFormat="1" applyFont="1" applyBorder="1" applyAlignment="1" applyProtection="1">
      <alignment horizontal="right"/>
    </xf>
    <xf numFmtId="222" fontId="17" fillId="0" borderId="10" xfId="2" applyNumberFormat="1" applyFont="1" applyBorder="1" applyAlignment="1" applyProtection="1">
      <alignment horizontal="right"/>
    </xf>
    <xf numFmtId="222" fontId="17" fillId="0" borderId="55" xfId="2" applyNumberFormat="1" applyFont="1" applyFill="1" applyBorder="1" applyAlignment="1" applyProtection="1">
      <alignment horizontal="right"/>
    </xf>
    <xf numFmtId="38" fontId="17" fillId="0" borderId="37" xfId="2" applyFont="1" applyFill="1" applyBorder="1" applyAlignment="1" applyProtection="1"/>
    <xf numFmtId="38" fontId="17" fillId="31" borderId="13" xfId="2" applyNumberFormat="1" applyFont="1" applyFill="1" applyBorder="1" applyAlignment="1" applyProtection="1">
      <alignment horizontal="right"/>
    </xf>
    <xf numFmtId="38" fontId="17" fillId="0" borderId="44" xfId="2" applyFont="1" applyFill="1" applyBorder="1" applyAlignment="1" applyProtection="1"/>
    <xf numFmtId="38" fontId="17" fillId="0" borderId="37" xfId="2" applyFont="1" applyFill="1" applyBorder="1" applyAlignment="1" applyProtection="1">
      <alignment horizontal="right"/>
    </xf>
    <xf numFmtId="38" fontId="17" fillId="0" borderId="38" xfId="2" applyFont="1" applyFill="1" applyBorder="1" applyAlignment="1" applyProtection="1"/>
    <xf numFmtId="184" fontId="26" fillId="0" borderId="29" xfId="0" applyNumberFormat="1" applyFont="1" applyFill="1" applyBorder="1" applyAlignment="1" applyProtection="1">
      <protection locked="0"/>
    </xf>
    <xf numFmtId="184" fontId="26" fillId="0" borderId="3" xfId="0" applyNumberFormat="1" applyFont="1" applyFill="1" applyBorder="1" applyAlignment="1" applyProtection="1">
      <protection locked="0"/>
    </xf>
    <xf numFmtId="184" fontId="26" fillId="0" borderId="3" xfId="0" applyNumberFormat="1" applyFont="1" applyFill="1" applyBorder="1" applyAlignment="1" applyProtection="1">
      <alignment horizontal="center"/>
      <protection locked="0"/>
    </xf>
    <xf numFmtId="184" fontId="26" fillId="0" borderId="26" xfId="0" applyNumberFormat="1" applyFont="1" applyFill="1" applyBorder="1" applyAlignment="1" applyProtection="1">
      <protection locked="0"/>
    </xf>
    <xf numFmtId="38" fontId="26" fillId="0" borderId="27" xfId="2" applyFont="1" applyFill="1" applyBorder="1" applyAlignment="1" applyProtection="1">
      <alignment horizontal="center"/>
      <protection locked="0"/>
    </xf>
    <xf numFmtId="38" fontId="26" fillId="29" borderId="28" xfId="2" applyFont="1" applyFill="1" applyBorder="1" applyAlignment="1" applyProtection="1">
      <alignment horizontal="center"/>
      <protection locked="0"/>
    </xf>
    <xf numFmtId="182" fontId="26" fillId="0" borderId="33" xfId="1" applyNumberFormat="1" applyFont="1" applyFill="1" applyBorder="1" applyAlignment="1" applyProtection="1">
      <alignment horizontal="right"/>
      <protection locked="0"/>
    </xf>
    <xf numFmtId="182" fontId="26" fillId="0" borderId="34" xfId="1" applyNumberFormat="1" applyFont="1" applyFill="1" applyBorder="1" applyAlignment="1" applyProtection="1">
      <alignment horizontal="right"/>
      <protection locked="0"/>
    </xf>
    <xf numFmtId="182" fontId="26" fillId="29" borderId="35" xfId="1" applyNumberFormat="1" applyFont="1" applyFill="1" applyBorder="1" applyAlignment="1" applyProtection="1">
      <alignment horizontal="right"/>
      <protection locked="0"/>
    </xf>
    <xf numFmtId="38" fontId="26" fillId="0" borderId="53" xfId="2" applyFont="1" applyFill="1" applyBorder="1" applyAlignment="1" applyProtection="1">
      <alignment horizontal="right"/>
      <protection locked="0"/>
    </xf>
    <xf numFmtId="38" fontId="26" fillId="0" borderId="11" xfId="2" applyFont="1" applyFill="1" applyBorder="1" applyAlignment="1" applyProtection="1">
      <alignment horizontal="right"/>
      <protection locked="0"/>
    </xf>
    <xf numFmtId="38" fontId="26" fillId="0" borderId="30" xfId="2" applyFont="1" applyFill="1" applyBorder="1" applyAlignment="1" applyProtection="1">
      <alignment horizontal="right"/>
      <protection locked="0"/>
    </xf>
    <xf numFmtId="38" fontId="26" fillId="29" borderId="31" xfId="2" applyFont="1" applyFill="1" applyBorder="1" applyAlignment="1" applyProtection="1">
      <alignment horizontal="right"/>
      <protection locked="0"/>
    </xf>
    <xf numFmtId="38" fontId="26" fillId="29" borderId="31" xfId="0" applyNumberFormat="1" applyFont="1" applyFill="1" applyBorder="1" applyAlignment="1" applyProtection="1">
      <alignment horizontal="right"/>
      <protection locked="0"/>
    </xf>
    <xf numFmtId="182" fontId="26" fillId="0" borderId="32" xfId="1" applyNumberFormat="1" applyFont="1" applyFill="1" applyBorder="1" applyAlignment="1" applyProtection="1">
      <alignment horizontal="right"/>
      <protection locked="0"/>
    </xf>
    <xf numFmtId="182" fontId="26" fillId="0" borderId="30" xfId="1" applyNumberFormat="1" applyFont="1" applyFill="1" applyBorder="1" applyAlignment="1" applyProtection="1">
      <alignment horizontal="right"/>
      <protection locked="0"/>
    </xf>
    <xf numFmtId="38" fontId="26" fillId="0" borderId="32" xfId="2" applyFont="1" applyFill="1" applyBorder="1" applyAlignment="1" applyProtection="1">
      <alignment horizontal="right"/>
      <protection locked="0"/>
    </xf>
    <xf numFmtId="182" fontId="26" fillId="0" borderId="36" xfId="1" applyNumberFormat="1" applyFont="1" applyFill="1" applyBorder="1" applyAlignment="1" applyProtection="1">
      <alignment horizontal="right"/>
      <protection locked="0"/>
    </xf>
    <xf numFmtId="182" fontId="26" fillId="0" borderId="37" xfId="1" applyNumberFormat="1" applyFont="1" applyFill="1" applyBorder="1" applyAlignment="1" applyProtection="1">
      <alignment horizontal="right"/>
      <protection locked="0"/>
    </xf>
    <xf numFmtId="182" fontId="26" fillId="29" borderId="38" xfId="1" applyNumberFormat="1" applyFont="1" applyFill="1" applyBorder="1" applyAlignment="1" applyProtection="1">
      <alignment horizontal="right"/>
      <protection locked="0"/>
    </xf>
    <xf numFmtId="182" fontId="26" fillId="29" borderId="40" xfId="1" applyNumberFormat="1" applyFont="1" applyFill="1" applyBorder="1" applyAlignment="1" applyProtection="1">
      <alignment horizontal="right"/>
      <protection locked="0"/>
    </xf>
    <xf numFmtId="3" fontId="26" fillId="0" borderId="32" xfId="2" applyNumberFormat="1" applyFont="1" applyFill="1" applyBorder="1" applyAlignment="1" applyProtection="1">
      <alignment horizontal="right"/>
      <protection locked="0"/>
    </xf>
    <xf numFmtId="3" fontId="26" fillId="29" borderId="31" xfId="2" applyNumberFormat="1" applyFont="1" applyFill="1" applyBorder="1" applyAlignment="1" applyProtection="1">
      <alignment horizontal="right"/>
      <protection locked="0"/>
    </xf>
    <xf numFmtId="182" fontId="26" fillId="29" borderId="41" xfId="1" applyNumberFormat="1" applyFont="1" applyFill="1" applyBorder="1" applyAlignment="1" applyProtection="1">
      <alignment horizontal="right"/>
      <protection locked="0"/>
    </xf>
    <xf numFmtId="38" fontId="26" fillId="29" borderId="39" xfId="2" applyFont="1" applyFill="1" applyBorder="1" applyAlignment="1" applyProtection="1">
      <alignment horizontal="right"/>
      <protection locked="0"/>
    </xf>
    <xf numFmtId="182" fontId="26" fillId="29" borderId="42" xfId="1" applyNumberFormat="1" applyFont="1" applyFill="1" applyBorder="1" applyAlignment="1" applyProtection="1">
      <alignment horizontal="right"/>
      <protection locked="0"/>
    </xf>
    <xf numFmtId="184" fontId="26" fillId="0" borderId="45" xfId="0" applyNumberFormat="1" applyFont="1" applyFill="1" applyBorder="1" applyAlignment="1" applyProtection="1">
      <protection locked="0"/>
    </xf>
    <xf numFmtId="38" fontId="26" fillId="0" borderId="10" xfId="2" applyFont="1" applyFill="1" applyBorder="1" applyAlignment="1" applyProtection="1">
      <alignment horizontal="right"/>
      <protection locked="0"/>
    </xf>
    <xf numFmtId="38" fontId="26" fillId="0" borderId="37" xfId="2" applyFont="1" applyFill="1" applyBorder="1" applyAlignment="1" applyProtection="1">
      <alignment horizontal="right" wrapText="1"/>
      <protection locked="0"/>
    </xf>
    <xf numFmtId="38" fontId="26" fillId="29" borderId="42" xfId="2" applyFont="1" applyFill="1" applyBorder="1" applyAlignment="1" applyProtection="1">
      <alignment horizontal="right" wrapText="1"/>
      <protection locked="0"/>
    </xf>
    <xf numFmtId="38" fontId="26" fillId="0" borderId="0" xfId="2" applyFont="1" applyFill="1" applyBorder="1" applyAlignment="1" applyProtection="1">
      <alignment horizontal="right"/>
      <protection locked="0"/>
    </xf>
    <xf numFmtId="184" fontId="17" fillId="0" borderId="45" xfId="0" applyNumberFormat="1" applyFont="1" applyFill="1" applyBorder="1" applyAlignment="1" applyProtection="1">
      <alignment horizontal="center"/>
      <protection locked="0"/>
    </xf>
    <xf numFmtId="0" fontId="26" fillId="0" borderId="75" xfId="0" applyFont="1" applyFill="1" applyBorder="1" applyAlignment="1">
      <alignment horizontal="right"/>
    </xf>
    <xf numFmtId="0" fontId="26" fillId="0" borderId="76" xfId="0" applyFont="1" applyFill="1" applyBorder="1" applyAlignment="1">
      <alignment horizontal="right"/>
    </xf>
    <xf numFmtId="0" fontId="26" fillId="0" borderId="77" xfId="0" applyFont="1" applyBorder="1" applyAlignment="1">
      <alignment horizontal="left"/>
    </xf>
    <xf numFmtId="0" fontId="26" fillId="0" borderId="78" xfId="0" applyFont="1" applyBorder="1" applyAlignment="1">
      <alignment horizontal="left"/>
    </xf>
    <xf numFmtId="0" fontId="26" fillId="0" borderId="51" xfId="0" applyFont="1" applyFill="1" applyBorder="1" applyAlignment="1">
      <alignment horizontal="right"/>
    </xf>
    <xf numFmtId="0" fontId="26" fillId="0" borderId="52" xfId="0" applyFont="1" applyFill="1" applyBorder="1" applyAlignment="1">
      <alignment horizontal="right"/>
    </xf>
    <xf numFmtId="38" fontId="26" fillId="0" borderId="51" xfId="2" applyFont="1" applyFill="1" applyBorder="1" applyAlignment="1" applyProtection="1">
      <alignment horizontal="right"/>
      <protection locked="0"/>
    </xf>
    <xf numFmtId="38" fontId="26" fillId="29" borderId="79" xfId="2" applyFont="1" applyFill="1" applyBorder="1" applyAlignment="1" applyProtection="1">
      <alignment horizontal="right"/>
      <protection locked="0"/>
    </xf>
    <xf numFmtId="38" fontId="26" fillId="0" borderId="51" xfId="2" applyFont="1" applyFill="1" applyBorder="1" applyAlignment="1">
      <alignment horizontal="right"/>
    </xf>
    <xf numFmtId="38" fontId="26" fillId="29" borderId="48" xfId="2" applyFont="1" applyFill="1" applyBorder="1" applyAlignment="1" applyProtection="1">
      <alignment horizontal="right"/>
      <protection locked="0"/>
    </xf>
    <xf numFmtId="38" fontId="26" fillId="33" borderId="11" xfId="2" applyFont="1" applyFill="1" applyBorder="1" applyAlignment="1" applyProtection="1">
      <alignment horizontal="right"/>
      <protection locked="0"/>
    </xf>
    <xf numFmtId="182" fontId="26" fillId="33" borderId="33" xfId="1" applyNumberFormat="1" applyFont="1" applyFill="1" applyBorder="1" applyAlignment="1" applyProtection="1">
      <alignment horizontal="right"/>
      <protection locked="0"/>
    </xf>
    <xf numFmtId="38" fontId="26" fillId="33" borderId="32" xfId="2" applyFont="1" applyFill="1" applyBorder="1" applyAlignment="1" applyProtection="1">
      <alignment horizontal="right"/>
      <protection locked="0"/>
    </xf>
    <xf numFmtId="182" fontId="26" fillId="33" borderId="34" xfId="1" applyNumberFormat="1" applyFont="1" applyFill="1" applyBorder="1" applyAlignment="1" applyProtection="1">
      <alignment horizontal="right"/>
      <protection locked="0"/>
    </xf>
    <xf numFmtId="182" fontId="26" fillId="33" borderId="36" xfId="1" applyNumberFormat="1" applyFont="1" applyFill="1" applyBorder="1" applyAlignment="1" applyProtection="1">
      <alignment horizontal="right"/>
      <protection locked="0"/>
    </xf>
    <xf numFmtId="38" fontId="26" fillId="33" borderId="11" xfId="2" applyFont="1" applyFill="1" applyBorder="1" applyAlignment="1">
      <alignment horizontal="right"/>
    </xf>
    <xf numFmtId="182" fontId="26" fillId="33" borderId="33" xfId="1" applyNumberFormat="1" applyFont="1" applyFill="1" applyBorder="1" applyAlignment="1">
      <alignment horizontal="right"/>
    </xf>
    <xf numFmtId="38" fontId="26" fillId="33" borderId="32" xfId="2" applyFont="1" applyFill="1" applyBorder="1" applyAlignment="1">
      <alignment horizontal="right"/>
    </xf>
    <xf numFmtId="182" fontId="26" fillId="33" borderId="34" xfId="1" applyNumberFormat="1" applyFont="1" applyFill="1" applyBorder="1" applyAlignment="1">
      <alignment horizontal="right"/>
    </xf>
    <xf numFmtId="182" fontId="26" fillId="33" borderId="36" xfId="1" applyNumberFormat="1" applyFont="1" applyFill="1" applyBorder="1" applyAlignment="1">
      <alignment horizontal="right"/>
    </xf>
    <xf numFmtId="38" fontId="26" fillId="33" borderId="30" xfId="2" applyFont="1" applyFill="1" applyBorder="1" applyAlignment="1">
      <alignment horizontal="right"/>
    </xf>
    <xf numFmtId="3" fontId="26" fillId="33" borderId="32" xfId="2" applyNumberFormat="1" applyFont="1" applyFill="1" applyBorder="1" applyAlignment="1">
      <alignment horizontal="right"/>
    </xf>
    <xf numFmtId="182" fontId="26" fillId="33" borderId="30" xfId="1" applyNumberFormat="1" applyFont="1" applyFill="1" applyBorder="1" applyAlignment="1">
      <alignment horizontal="right"/>
    </xf>
    <xf numFmtId="182" fontId="26" fillId="33" borderId="37" xfId="1" applyNumberFormat="1" applyFont="1" applyFill="1" applyBorder="1" applyAlignment="1">
      <alignment horizontal="right"/>
    </xf>
    <xf numFmtId="38" fontId="26" fillId="33" borderId="30" xfId="2" applyFont="1" applyFill="1" applyBorder="1" applyAlignment="1" applyProtection="1">
      <alignment horizontal="right"/>
      <protection locked="0"/>
    </xf>
    <xf numFmtId="3" fontId="26" fillId="33" borderId="32" xfId="2" applyNumberFormat="1" applyFont="1" applyFill="1" applyBorder="1" applyAlignment="1" applyProtection="1">
      <alignment horizontal="right"/>
      <protection locked="0"/>
    </xf>
    <xf numFmtId="182" fontId="26" fillId="33" borderId="30" xfId="1" applyNumberFormat="1" applyFont="1" applyFill="1" applyBorder="1" applyAlignment="1" applyProtection="1">
      <alignment horizontal="right"/>
      <protection locked="0"/>
    </xf>
    <xf numFmtId="182" fontId="26" fillId="33" borderId="37" xfId="1" applyNumberFormat="1" applyFont="1" applyFill="1" applyBorder="1" applyAlignment="1" applyProtection="1">
      <alignment horizontal="right"/>
      <protection locked="0"/>
    </xf>
    <xf numFmtId="38" fontId="26" fillId="33" borderId="10" xfId="2" applyFont="1" applyFill="1" applyBorder="1" applyAlignment="1" applyProtection="1">
      <alignment horizontal="right"/>
      <protection locked="0"/>
    </xf>
    <xf numFmtId="38" fontId="26" fillId="33" borderId="37" xfId="2" applyFont="1" applyFill="1" applyBorder="1" applyAlignment="1" applyProtection="1">
      <alignment horizontal="right" wrapText="1"/>
      <protection locked="0"/>
    </xf>
    <xf numFmtId="38" fontId="26" fillId="33" borderId="51" xfId="2" applyFont="1" applyFill="1" applyBorder="1" applyAlignment="1" applyProtection="1">
      <alignment horizontal="right"/>
      <protection locked="0"/>
    </xf>
    <xf numFmtId="38" fontId="26" fillId="33" borderId="10" xfId="2" applyFont="1" applyFill="1" applyBorder="1" applyAlignment="1">
      <alignment horizontal="right"/>
    </xf>
    <xf numFmtId="38" fontId="26" fillId="33" borderId="37" xfId="2" applyFont="1" applyFill="1" applyBorder="1" applyAlignment="1">
      <alignment horizontal="right" wrapText="1"/>
    </xf>
    <xf numFmtId="38" fontId="26" fillId="33" borderId="51" xfId="2" applyFont="1" applyFill="1" applyBorder="1" applyAlignment="1">
      <alignment horizontal="right"/>
    </xf>
    <xf numFmtId="38" fontId="26" fillId="0" borderId="80" xfId="2" applyFont="1" applyFill="1" applyBorder="1" applyAlignment="1" applyProtection="1">
      <alignment horizontal="center"/>
      <protection locked="0"/>
    </xf>
    <xf numFmtId="182" fontId="26" fillId="0" borderId="22" xfId="1" applyNumberFormat="1" applyFont="1" applyFill="1" applyBorder="1" applyAlignment="1" applyProtection="1">
      <alignment horizontal="right"/>
      <protection locked="0"/>
    </xf>
    <xf numFmtId="182" fontId="26" fillId="0" borderId="72" xfId="1" applyNumberFormat="1" applyFont="1" applyFill="1" applyBorder="1" applyAlignment="1" applyProtection="1">
      <alignment horizontal="right"/>
      <protection locked="0"/>
    </xf>
    <xf numFmtId="182" fontId="26" fillId="0" borderId="25" xfId="1" applyNumberFormat="1" applyFont="1" applyFill="1" applyBorder="1" applyAlignment="1" applyProtection="1">
      <alignment horizontal="right"/>
      <protection locked="0"/>
    </xf>
    <xf numFmtId="38" fontId="26" fillId="0" borderId="80" xfId="2" applyFont="1" applyFill="1" applyBorder="1" applyAlignment="1">
      <alignment horizontal="center"/>
    </xf>
    <xf numFmtId="38" fontId="26" fillId="0" borderId="53" xfId="2" applyFont="1" applyFill="1" applyBorder="1" applyAlignment="1">
      <alignment horizontal="right"/>
    </xf>
    <xf numFmtId="182" fontId="26" fillId="0" borderId="22" xfId="1" applyNumberFormat="1" applyFont="1" applyFill="1" applyBorder="1" applyAlignment="1">
      <alignment horizontal="right"/>
    </xf>
    <xf numFmtId="38" fontId="26" fillId="0" borderId="24" xfId="2" applyFont="1" applyFill="1" applyBorder="1" applyAlignment="1">
      <alignment horizontal="right"/>
    </xf>
    <xf numFmtId="182" fontId="26" fillId="0" borderId="72" xfId="1" applyNumberFormat="1" applyFont="1" applyFill="1" applyBorder="1" applyAlignment="1">
      <alignment horizontal="right"/>
    </xf>
    <xf numFmtId="182" fontId="26" fillId="0" borderId="25" xfId="1" applyNumberFormat="1" applyFont="1" applyFill="1" applyBorder="1" applyAlignment="1">
      <alignment horizontal="right"/>
    </xf>
    <xf numFmtId="38" fontId="26" fillId="0" borderId="66" xfId="2" applyFont="1" applyFill="1" applyBorder="1" applyAlignment="1" applyProtection="1">
      <alignment horizontal="right"/>
      <protection locked="0"/>
    </xf>
    <xf numFmtId="3" fontId="26" fillId="0" borderId="66" xfId="2" applyNumberFormat="1" applyFont="1" applyFill="1" applyBorder="1" applyAlignment="1" applyProtection="1">
      <alignment horizontal="right"/>
      <protection locked="0"/>
    </xf>
    <xf numFmtId="182" fontId="26" fillId="0" borderId="73" xfId="1" applyNumberFormat="1" applyFont="1" applyFill="1" applyBorder="1" applyAlignment="1" applyProtection="1">
      <alignment horizontal="right"/>
      <protection locked="0"/>
    </xf>
    <xf numFmtId="182" fontId="26" fillId="0" borderId="44" xfId="1" applyNumberFormat="1" applyFont="1" applyFill="1" applyBorder="1" applyAlignment="1" applyProtection="1">
      <alignment horizontal="right"/>
      <protection locked="0"/>
    </xf>
    <xf numFmtId="38" fontId="26" fillId="0" borderId="81" xfId="2" applyFont="1" applyFill="1" applyBorder="1" applyAlignment="1">
      <alignment horizontal="right"/>
    </xf>
    <xf numFmtId="182" fontId="26" fillId="0" borderId="82" xfId="1" applyNumberFormat="1" applyFont="1" applyFill="1" applyBorder="1" applyAlignment="1">
      <alignment horizontal="right"/>
    </xf>
    <xf numFmtId="3" fontId="26" fillId="0" borderId="81" xfId="2" applyNumberFormat="1" applyFont="1" applyFill="1" applyBorder="1" applyAlignment="1">
      <alignment horizontal="right"/>
    </xf>
    <xf numFmtId="182" fontId="26" fillId="0" borderId="16" xfId="1" applyNumberFormat="1" applyFont="1" applyFill="1" applyBorder="1" applyAlignment="1">
      <alignment horizontal="right"/>
    </xf>
    <xf numFmtId="182" fontId="26" fillId="0" borderId="59" xfId="1" applyNumberFormat="1" applyFont="1" applyFill="1" applyBorder="1" applyAlignment="1">
      <alignment horizontal="right"/>
    </xf>
    <xf numFmtId="38" fontId="26" fillId="0" borderId="43" xfId="2" applyFont="1" applyFill="1" applyBorder="1" applyAlignment="1" applyProtection="1">
      <alignment horizontal="right"/>
      <protection locked="0"/>
    </xf>
    <xf numFmtId="38" fontId="26" fillId="0" borderId="44" xfId="2" applyFont="1" applyFill="1" applyBorder="1" applyAlignment="1" applyProtection="1">
      <alignment horizontal="right" wrapText="1"/>
      <protection locked="0"/>
    </xf>
    <xf numFmtId="38" fontId="26" fillId="0" borderId="43" xfId="2" applyFont="1" applyFill="1" applyBorder="1" applyAlignment="1">
      <alignment horizontal="right"/>
    </xf>
    <xf numFmtId="38" fontId="26" fillId="0" borderId="44" xfId="2" applyFont="1" applyFill="1" applyBorder="1" applyAlignment="1">
      <alignment horizontal="right" wrapText="1"/>
    </xf>
    <xf numFmtId="38" fontId="26" fillId="0" borderId="77" xfId="2" applyFont="1" applyFill="1" applyBorder="1" applyAlignment="1" applyProtection="1">
      <alignment horizontal="right"/>
      <protection locked="0"/>
    </xf>
    <xf numFmtId="38" fontId="26" fillId="0" borderId="77" xfId="2" applyFont="1" applyFill="1" applyBorder="1" applyAlignment="1">
      <alignment horizontal="right"/>
    </xf>
    <xf numFmtId="38" fontId="26" fillId="33" borderId="0" xfId="2" applyFont="1" applyFill="1" applyBorder="1" applyAlignment="1" applyProtection="1">
      <alignment horizontal="right"/>
      <protection locked="0"/>
    </xf>
    <xf numFmtId="38" fontId="26" fillId="33" borderId="46" xfId="2" applyFont="1" applyFill="1" applyBorder="1" applyAlignment="1" applyProtection="1">
      <alignment horizontal="center"/>
      <protection locked="0"/>
    </xf>
    <xf numFmtId="182" fontId="26" fillId="33" borderId="17" xfId="1" applyNumberFormat="1" applyFont="1" applyFill="1" applyBorder="1" applyAlignment="1" applyProtection="1">
      <alignment horizontal="right"/>
      <protection locked="0"/>
    </xf>
    <xf numFmtId="38" fontId="26" fillId="33" borderId="46" xfId="2" applyFont="1" applyFill="1" applyBorder="1" applyAlignment="1">
      <alignment horizontal="center"/>
    </xf>
    <xf numFmtId="38" fontId="26" fillId="33" borderId="0" xfId="2" applyFont="1" applyFill="1" applyBorder="1" applyAlignment="1">
      <alignment horizontal="right"/>
    </xf>
    <xf numFmtId="182" fontId="26" fillId="33" borderId="17" xfId="1" applyNumberFormat="1" applyFont="1" applyFill="1" applyBorder="1" applyAlignment="1">
      <alignment horizontal="right"/>
    </xf>
    <xf numFmtId="38" fontId="26" fillId="0" borderId="83" xfId="2" applyFont="1" applyFill="1" applyBorder="1" applyAlignment="1">
      <alignment horizontal="right"/>
    </xf>
    <xf numFmtId="38" fontId="17" fillId="0" borderId="37" xfId="2" applyFont="1" applyFill="1" applyBorder="1" applyAlignment="1" applyProtection="1">
      <protection locked="0"/>
    </xf>
    <xf numFmtId="38" fontId="17" fillId="0" borderId="0" xfId="2" applyFont="1" applyFill="1" applyAlignment="1"/>
    <xf numFmtId="38" fontId="17" fillId="28" borderId="84" xfId="2" applyFont="1" applyFill="1" applyBorder="1" applyAlignment="1">
      <alignment horizontal="center"/>
    </xf>
    <xf numFmtId="38" fontId="17" fillId="28" borderId="27" xfId="2" applyFont="1" applyFill="1" applyBorder="1" applyAlignment="1">
      <alignment horizontal="center"/>
    </xf>
    <xf numFmtId="38" fontId="17" fillId="28" borderId="85" xfId="2" applyFont="1" applyFill="1" applyBorder="1" applyAlignment="1" applyProtection="1">
      <alignment horizontal="right"/>
      <protection locked="0"/>
    </xf>
    <xf numFmtId="38" fontId="17" fillId="28" borderId="63" xfId="2" applyFont="1" applyFill="1" applyBorder="1" applyAlignment="1" applyProtection="1">
      <alignment horizontal="right"/>
      <protection locked="0"/>
    </xf>
    <xf numFmtId="38" fontId="17" fillId="28" borderId="81" xfId="2" applyFont="1" applyFill="1" applyBorder="1" applyAlignment="1" applyProtection="1">
      <alignment horizontal="right"/>
      <protection locked="0"/>
    </xf>
    <xf numFmtId="38" fontId="17" fillId="28" borderId="32" xfId="2" applyFont="1" applyFill="1" applyBorder="1" applyAlignment="1" applyProtection="1">
      <alignment horizontal="right"/>
      <protection locked="0"/>
    </xf>
    <xf numFmtId="38" fontId="17" fillId="28" borderId="86" xfId="2" applyFont="1" applyFill="1" applyBorder="1" applyAlignment="1" applyProtection="1">
      <alignment horizontal="right"/>
      <protection locked="0"/>
    </xf>
    <xf numFmtId="38" fontId="17" fillId="28" borderId="67" xfId="2" applyFont="1" applyFill="1" applyBorder="1" applyAlignment="1" applyProtection="1">
      <alignment horizontal="right"/>
      <protection locked="0"/>
    </xf>
    <xf numFmtId="182" fontId="24" fillId="28" borderId="82" xfId="1" applyNumberFormat="1" applyFont="1" applyFill="1" applyBorder="1" applyAlignment="1" applyProtection="1">
      <alignment horizontal="right"/>
      <protection locked="0"/>
    </xf>
    <xf numFmtId="182" fontId="24" fillId="28" borderId="34" xfId="1" applyNumberFormat="1" applyFont="1" applyFill="1" applyBorder="1" applyAlignment="1" applyProtection="1">
      <alignment horizontal="right"/>
      <protection locked="0"/>
    </xf>
    <xf numFmtId="38" fontId="17" fillId="28" borderId="84" xfId="2" applyFont="1" applyFill="1" applyBorder="1" applyAlignment="1" applyProtection="1">
      <alignment horizontal="right"/>
      <protection locked="0"/>
    </xf>
    <xf numFmtId="38" fontId="17" fillId="28" borderId="27" xfId="2" applyFont="1" applyFill="1" applyBorder="1" applyAlignment="1" applyProtection="1">
      <alignment horizontal="right"/>
      <protection locked="0"/>
    </xf>
    <xf numFmtId="38" fontId="17" fillId="28" borderId="17" xfId="2" applyFont="1" applyFill="1" applyBorder="1" applyAlignment="1" applyProtection="1">
      <alignment horizontal="right"/>
      <protection locked="0"/>
    </xf>
    <xf numFmtId="38" fontId="17" fillId="28" borderId="34" xfId="2" applyNumberFormat="1" applyFont="1" applyFill="1" applyBorder="1" applyAlignment="1" applyProtection="1">
      <alignment horizontal="right"/>
      <protection locked="0"/>
    </xf>
    <xf numFmtId="38" fontId="24" fillId="28" borderId="0" xfId="2" applyFont="1" applyFill="1" applyBorder="1" applyAlignment="1" applyProtection="1">
      <alignment horizontal="right"/>
      <protection locked="0"/>
    </xf>
    <xf numFmtId="38" fontId="24" fillId="28" borderId="30" xfId="2" applyNumberFormat="1" applyFont="1" applyFill="1" applyBorder="1" applyAlignment="1" applyProtection="1">
      <alignment horizontal="right"/>
      <protection locked="0"/>
    </xf>
    <xf numFmtId="38" fontId="24" fillId="28" borderId="6" xfId="2" applyFont="1" applyFill="1" applyBorder="1" applyAlignment="1" applyProtection="1">
      <alignment horizontal="right"/>
      <protection locked="0"/>
    </xf>
    <xf numFmtId="38" fontId="24" fillId="28" borderId="10" xfId="2" applyNumberFormat="1" applyFont="1" applyFill="1" applyBorder="1" applyAlignment="1" applyProtection="1">
      <alignment horizontal="right"/>
      <protection locked="0"/>
    </xf>
    <xf numFmtId="38" fontId="17" fillId="28" borderId="0" xfId="2" applyFont="1" applyFill="1" applyBorder="1" applyAlignment="1" applyProtection="1">
      <alignment horizontal="right"/>
      <protection locked="0"/>
    </xf>
    <xf numFmtId="38" fontId="17" fillId="28" borderId="30" xfId="2" applyNumberFormat="1" applyFont="1" applyFill="1" applyBorder="1" applyAlignment="1" applyProtection="1">
      <alignment horizontal="right"/>
      <protection locked="0"/>
    </xf>
    <xf numFmtId="38" fontId="17" fillId="28" borderId="23" xfId="2" applyFont="1" applyFill="1" applyBorder="1" applyAlignment="1" applyProtection="1">
      <alignment horizontal="right"/>
      <protection locked="0"/>
    </xf>
    <xf numFmtId="38" fontId="17" fillId="28" borderId="32" xfId="2" applyNumberFormat="1" applyFont="1" applyFill="1" applyBorder="1" applyAlignment="1" applyProtection="1">
      <alignment horizontal="right"/>
      <protection locked="0"/>
    </xf>
    <xf numFmtId="38" fontId="17" fillId="28" borderId="45" xfId="2" applyFont="1" applyFill="1" applyBorder="1" applyAlignment="1" applyProtection="1">
      <alignment horizontal="right"/>
      <protection locked="0"/>
    </xf>
    <xf numFmtId="38" fontId="17" fillId="28" borderId="6" xfId="2" applyFont="1" applyFill="1" applyBorder="1" applyAlignment="1" applyProtection="1">
      <alignment horizontal="right"/>
      <protection locked="0"/>
    </xf>
    <xf numFmtId="222" fontId="17" fillId="28" borderId="6" xfId="2" applyNumberFormat="1" applyFont="1" applyFill="1" applyBorder="1" applyAlignment="1" applyProtection="1">
      <alignment horizontal="right"/>
      <protection locked="0"/>
    </xf>
    <xf numFmtId="222" fontId="17" fillId="28" borderId="10" xfId="2" applyNumberFormat="1" applyFont="1" applyFill="1" applyBorder="1" applyAlignment="1" applyProtection="1">
      <alignment horizontal="right"/>
      <protection locked="0"/>
    </xf>
    <xf numFmtId="38" fontId="17" fillId="28" borderId="13" xfId="2" applyFont="1" applyFill="1" applyBorder="1" applyAlignment="1" applyProtection="1">
      <alignment horizontal="right"/>
      <protection locked="0"/>
    </xf>
    <xf numFmtId="38" fontId="17" fillId="28" borderId="37" xfId="2" applyNumberFormat="1" applyFont="1" applyFill="1" applyBorder="1" applyAlignment="1" applyProtection="1">
      <protection locked="0"/>
    </xf>
    <xf numFmtId="38" fontId="17" fillId="33" borderId="44" xfId="2" applyFont="1" applyFill="1" applyBorder="1" applyAlignment="1" applyProtection="1">
      <protection locked="0"/>
    </xf>
    <xf numFmtId="38" fontId="17" fillId="33" borderId="59" xfId="2" applyNumberFormat="1" applyFont="1" applyFill="1" applyBorder="1" applyAlignment="1" applyProtection="1"/>
    <xf numFmtId="38" fontId="17" fillId="28" borderId="84" xfId="2" applyFont="1" applyFill="1" applyBorder="1" applyAlignment="1" applyProtection="1">
      <alignment horizontal="center"/>
    </xf>
    <xf numFmtId="38" fontId="17" fillId="28" borderId="85" xfId="2" applyFont="1" applyFill="1" applyBorder="1" applyAlignment="1" applyProtection="1">
      <alignment horizontal="right"/>
    </xf>
    <xf numFmtId="38" fontId="17" fillId="28" borderId="81" xfId="2" applyFont="1" applyFill="1" applyBorder="1" applyAlignment="1" applyProtection="1">
      <alignment horizontal="right"/>
    </xf>
    <xf numFmtId="38" fontId="17" fillId="28" borderId="86" xfId="2" applyFont="1" applyFill="1" applyBorder="1" applyAlignment="1" applyProtection="1">
      <alignment horizontal="right"/>
    </xf>
    <xf numFmtId="182" fontId="24" fillId="28" borderId="82" xfId="1" applyNumberFormat="1" applyFont="1" applyFill="1" applyBorder="1" applyAlignment="1" applyProtection="1">
      <alignment horizontal="right"/>
    </xf>
    <xf numFmtId="38" fontId="17" fillId="28" borderId="84" xfId="2" applyFont="1" applyFill="1" applyBorder="1" applyAlignment="1" applyProtection="1">
      <alignment horizontal="right"/>
    </xf>
    <xf numFmtId="38" fontId="17" fillId="28" borderId="82" xfId="2" applyFont="1" applyFill="1" applyBorder="1" applyAlignment="1" applyProtection="1">
      <alignment horizontal="right"/>
    </xf>
    <xf numFmtId="38" fontId="24" fillId="28" borderId="16" xfId="2" applyFont="1" applyFill="1" applyBorder="1" applyAlignment="1" applyProtection="1">
      <alignment horizontal="right"/>
    </xf>
    <xf numFmtId="38" fontId="24" fillId="28" borderId="58" xfId="2" applyFont="1" applyFill="1" applyBorder="1" applyAlignment="1" applyProtection="1">
      <alignment horizontal="right"/>
    </xf>
    <xf numFmtId="38" fontId="17" fillId="28" borderId="16" xfId="2" applyFont="1" applyFill="1" applyBorder="1" applyAlignment="1" applyProtection="1">
      <alignment horizontal="right"/>
    </xf>
    <xf numFmtId="38" fontId="17" fillId="28" borderId="87" xfId="2" applyNumberFormat="1" applyFont="1" applyFill="1" applyBorder="1" applyAlignment="1" applyProtection="1">
      <alignment horizontal="right"/>
    </xf>
    <xf numFmtId="38" fontId="17" fillId="28" borderId="58" xfId="2" applyNumberFormat="1" applyFont="1" applyFill="1" applyBorder="1" applyAlignment="1" applyProtection="1">
      <alignment horizontal="right"/>
    </xf>
    <xf numFmtId="222" fontId="17" fillId="28" borderId="58" xfId="2" applyNumberFormat="1" applyFont="1" applyFill="1" applyBorder="1" applyAlignment="1" applyProtection="1">
      <alignment horizontal="right"/>
    </xf>
    <xf numFmtId="38" fontId="17" fillId="28" borderId="59" xfId="2" applyFont="1" applyFill="1" applyBorder="1" applyAlignment="1" applyProtection="1">
      <alignment horizontal="right"/>
    </xf>
    <xf numFmtId="38" fontId="25" fillId="28" borderId="0" xfId="2" applyFont="1" applyFill="1" applyAlignment="1" applyProtection="1">
      <protection locked="0"/>
    </xf>
    <xf numFmtId="38" fontId="26" fillId="28" borderId="46" xfId="2" applyFont="1" applyFill="1" applyBorder="1" applyAlignment="1" applyProtection="1">
      <alignment horizontal="center"/>
      <protection locked="0"/>
    </xf>
    <xf numFmtId="0" fontId="26" fillId="28" borderId="0" xfId="0" applyFont="1" applyFill="1" applyAlignment="1"/>
    <xf numFmtId="184" fontId="26" fillId="28" borderId="3" xfId="0" applyNumberFormat="1" applyFont="1" applyFill="1" applyBorder="1" applyAlignment="1">
      <alignment horizontal="center"/>
    </xf>
    <xf numFmtId="38" fontId="26" fillId="28" borderId="46" xfId="2" applyFont="1" applyFill="1" applyBorder="1" applyAlignment="1">
      <alignment horizontal="center"/>
    </xf>
    <xf numFmtId="38" fontId="26" fillId="28" borderId="0" xfId="2" applyFont="1" applyFill="1" applyBorder="1" applyAlignment="1">
      <alignment horizontal="right"/>
    </xf>
    <xf numFmtId="182" fontId="26" fillId="28" borderId="17" xfId="1" applyNumberFormat="1" applyFont="1" applyFill="1" applyBorder="1" applyAlignment="1">
      <alignment horizontal="right"/>
    </xf>
    <xf numFmtId="38" fontId="26" fillId="28" borderId="32" xfId="2" applyFont="1" applyFill="1" applyBorder="1" applyAlignment="1">
      <alignment horizontal="right"/>
    </xf>
    <xf numFmtId="182" fontId="26" fillId="28" borderId="34" xfId="1" applyNumberFormat="1" applyFont="1" applyFill="1" applyBorder="1" applyAlignment="1">
      <alignment horizontal="right"/>
    </xf>
    <xf numFmtId="3" fontId="26" fillId="28" borderId="32" xfId="2" applyNumberFormat="1" applyFont="1" applyFill="1" applyBorder="1" applyAlignment="1">
      <alignment horizontal="right"/>
    </xf>
    <xf numFmtId="182" fontId="26" fillId="28" borderId="30" xfId="1" applyNumberFormat="1" applyFont="1" applyFill="1" applyBorder="1" applyAlignment="1">
      <alignment horizontal="right"/>
    </xf>
    <xf numFmtId="182" fontId="26" fillId="28" borderId="37" xfId="1" applyNumberFormat="1" applyFont="1" applyFill="1" applyBorder="1" applyAlignment="1">
      <alignment horizontal="right"/>
    </xf>
    <xf numFmtId="38" fontId="26" fillId="28" borderId="10" xfId="2" applyFont="1" applyFill="1" applyBorder="1" applyAlignment="1">
      <alignment horizontal="right"/>
    </xf>
    <xf numFmtId="38" fontId="26" fillId="28" borderId="37" xfId="2" applyFont="1" applyFill="1" applyBorder="1" applyAlignment="1">
      <alignment horizontal="right" wrapText="1"/>
    </xf>
    <xf numFmtId="38" fontId="26" fillId="28" borderId="30" xfId="2" applyFont="1" applyFill="1" applyBorder="1" applyAlignment="1">
      <alignment horizontal="right"/>
    </xf>
    <xf numFmtId="38" fontId="26" fillId="28" borderId="11" xfId="2" applyFont="1" applyFill="1" applyBorder="1" applyAlignment="1">
      <alignment horizontal="right"/>
    </xf>
    <xf numFmtId="182" fontId="26" fillId="28" borderId="33" xfId="1" applyNumberFormat="1" applyFont="1" applyFill="1" applyBorder="1" applyAlignment="1">
      <alignment horizontal="right"/>
    </xf>
    <xf numFmtId="182" fontId="26" fillId="28" borderId="36" xfId="1" applyNumberFormat="1" applyFont="1" applyFill="1" applyBorder="1" applyAlignment="1">
      <alignment horizontal="right"/>
    </xf>
    <xf numFmtId="38" fontId="26" fillId="28" borderId="51" xfId="2" applyFont="1" applyFill="1" applyBorder="1" applyAlignment="1" applyProtection="1">
      <alignment horizontal="right"/>
      <protection locked="0"/>
    </xf>
    <xf numFmtId="38" fontId="26" fillId="28" borderId="51" xfId="2" applyFont="1" applyFill="1" applyBorder="1" applyAlignment="1">
      <alignment horizontal="right"/>
    </xf>
    <xf numFmtId="38" fontId="17" fillId="28" borderId="61" xfId="2" applyFont="1" applyFill="1" applyBorder="1" applyAlignment="1" applyProtection="1">
      <alignment horizontal="right"/>
      <protection locked="0"/>
    </xf>
    <xf numFmtId="38" fontId="17" fillId="28" borderId="10" xfId="2" applyFont="1" applyFill="1" applyBorder="1" applyAlignment="1" applyProtection="1">
      <alignment horizontal="right"/>
      <protection locked="0"/>
    </xf>
    <xf numFmtId="0" fontId="124" fillId="0" borderId="0" xfId="0" applyFont="1" applyFill="1" applyAlignment="1"/>
    <xf numFmtId="184" fontId="124" fillId="0" borderId="3" xfId="0" applyNumberFormat="1" applyFont="1" applyFill="1" applyBorder="1" applyAlignment="1" applyProtection="1">
      <protection locked="0"/>
    </xf>
    <xf numFmtId="184" fontId="124" fillId="0" borderId="3" xfId="0" applyNumberFormat="1" applyFont="1" applyFill="1" applyBorder="1" applyAlignment="1" applyProtection="1">
      <alignment horizontal="center"/>
      <protection locked="0"/>
    </xf>
    <xf numFmtId="38" fontId="124" fillId="0" borderId="27" xfId="2" applyFont="1" applyFill="1" applyBorder="1" applyAlignment="1" applyProtection="1">
      <alignment horizontal="center"/>
      <protection locked="0"/>
    </xf>
    <xf numFmtId="38" fontId="124" fillId="28" borderId="46" xfId="2" applyFont="1" applyFill="1" applyBorder="1" applyAlignment="1" applyProtection="1">
      <alignment horizontal="center"/>
      <protection locked="0"/>
    </xf>
    <xf numFmtId="38" fontId="124" fillId="0" borderId="30" xfId="2" applyFont="1" applyFill="1" applyBorder="1" applyAlignment="1" applyProtection="1">
      <alignment horizontal="right"/>
      <protection locked="0"/>
    </xf>
    <xf numFmtId="38" fontId="124" fillId="0" borderId="0" xfId="2" applyFont="1" applyFill="1" applyBorder="1" applyAlignment="1" applyProtection="1">
      <alignment horizontal="right"/>
      <protection locked="0"/>
    </xf>
    <xf numFmtId="182" fontId="124" fillId="0" borderId="34" xfId="1" applyNumberFormat="1" applyFont="1" applyFill="1" applyBorder="1" applyAlignment="1" applyProtection="1">
      <alignment horizontal="right"/>
      <protection locked="0"/>
    </xf>
    <xf numFmtId="182" fontId="124" fillId="0" borderId="17" xfId="1" applyNumberFormat="1" applyFont="1" applyFill="1" applyBorder="1" applyAlignment="1" applyProtection="1">
      <alignment horizontal="right"/>
      <protection locked="0"/>
    </xf>
    <xf numFmtId="38" fontId="124" fillId="0" borderId="32" xfId="2" applyFont="1" applyFill="1" applyBorder="1" applyAlignment="1" applyProtection="1">
      <alignment horizontal="right"/>
      <protection locked="0"/>
    </xf>
    <xf numFmtId="3" fontId="124" fillId="0" borderId="32" xfId="2" applyNumberFormat="1" applyFont="1" applyFill="1" applyBorder="1" applyAlignment="1" applyProtection="1">
      <alignment horizontal="right"/>
      <protection locked="0"/>
    </xf>
    <xf numFmtId="182" fontId="124" fillId="0" borderId="30" xfId="1" applyNumberFormat="1" applyFont="1" applyFill="1" applyBorder="1" applyAlignment="1" applyProtection="1">
      <alignment horizontal="right"/>
      <protection locked="0"/>
    </xf>
    <xf numFmtId="182" fontId="124" fillId="0" borderId="37" xfId="1" applyNumberFormat="1" applyFont="1" applyFill="1" applyBorder="1" applyAlignment="1" applyProtection="1">
      <alignment horizontal="right"/>
      <protection locked="0"/>
    </xf>
    <xf numFmtId="184" fontId="124" fillId="0" borderId="45" xfId="0" applyNumberFormat="1" applyFont="1" applyFill="1" applyBorder="1" applyAlignment="1" applyProtection="1">
      <protection locked="0"/>
    </xf>
    <xf numFmtId="184" fontId="124" fillId="28" borderId="3" xfId="0" applyNumberFormat="1" applyFont="1" applyFill="1" applyBorder="1" applyAlignment="1" applyProtection="1">
      <alignment horizontal="center"/>
      <protection locked="0"/>
    </xf>
    <xf numFmtId="38" fontId="124" fillId="0" borderId="10" xfId="2" applyFont="1" applyFill="1" applyBorder="1" applyAlignment="1" applyProtection="1">
      <alignment horizontal="right"/>
      <protection locked="0"/>
    </xf>
    <xf numFmtId="38" fontId="124" fillId="28" borderId="10" xfId="2" applyFont="1" applyFill="1" applyBorder="1" applyAlignment="1" applyProtection="1">
      <alignment horizontal="right"/>
      <protection locked="0"/>
    </xf>
    <xf numFmtId="38" fontId="124" fillId="0" borderId="37" xfId="2" applyFont="1" applyFill="1" applyBorder="1" applyAlignment="1" applyProtection="1">
      <alignment horizontal="right" wrapText="1"/>
      <protection locked="0"/>
    </xf>
    <xf numFmtId="38" fontId="124" fillId="28" borderId="37" xfId="2" applyFont="1" applyFill="1" applyBorder="1" applyAlignment="1" applyProtection="1">
      <alignment horizontal="right" wrapText="1"/>
      <protection locked="0"/>
    </xf>
    <xf numFmtId="38" fontId="124" fillId="0" borderId="11" xfId="2" applyFont="1" applyFill="1" applyBorder="1" applyAlignment="1" applyProtection="1">
      <alignment horizontal="right"/>
      <protection locked="0"/>
    </xf>
    <xf numFmtId="182" fontId="124" fillId="0" borderId="33" xfId="1" applyNumberFormat="1" applyFont="1" applyFill="1" applyBorder="1" applyAlignment="1" applyProtection="1">
      <alignment horizontal="right"/>
      <protection locked="0"/>
    </xf>
    <xf numFmtId="182" fontId="124" fillId="0" borderId="36" xfId="1" applyNumberFormat="1" applyFont="1" applyFill="1" applyBorder="1" applyAlignment="1" applyProtection="1">
      <alignment horizontal="right"/>
      <protection locked="0"/>
    </xf>
    <xf numFmtId="38" fontId="17" fillId="32" borderId="31" xfId="2" applyFont="1" applyFill="1" applyBorder="1" applyAlignment="1" applyProtection="1">
      <alignment horizontal="right"/>
      <protection locked="0"/>
    </xf>
    <xf numFmtId="38" fontId="17" fillId="32" borderId="60" xfId="2" applyFont="1" applyFill="1" applyBorder="1" applyAlignment="1" applyProtection="1">
      <alignment horizontal="right"/>
      <protection locked="0"/>
    </xf>
    <xf numFmtId="182" fontId="24" fillId="32" borderId="35" xfId="1" applyNumberFormat="1" applyFont="1" applyFill="1" applyBorder="1" applyAlignment="1" applyProtection="1">
      <alignment horizontal="right"/>
      <protection locked="0"/>
    </xf>
    <xf numFmtId="38" fontId="17" fillId="32" borderId="35" xfId="2" applyFont="1" applyFill="1" applyBorder="1" applyAlignment="1" applyProtection="1">
      <alignment horizontal="right"/>
      <protection locked="0"/>
    </xf>
    <xf numFmtId="38" fontId="26" fillId="33" borderId="27" xfId="2" applyFont="1" applyFill="1" applyBorder="1" applyAlignment="1" applyProtection="1">
      <alignment horizontal="center"/>
      <protection locked="0"/>
    </xf>
    <xf numFmtId="38" fontId="124" fillId="33" borderId="11" xfId="2" applyFont="1" applyFill="1" applyBorder="1" applyAlignment="1" applyProtection="1">
      <alignment horizontal="right"/>
      <protection locked="0"/>
    </xf>
    <xf numFmtId="182" fontId="124" fillId="33" borderId="33" xfId="1" applyNumberFormat="1" applyFont="1" applyFill="1" applyBorder="1" applyAlignment="1" applyProtection="1">
      <alignment horizontal="right"/>
      <protection locked="0"/>
    </xf>
    <xf numFmtId="38" fontId="124" fillId="33" borderId="32" xfId="2" applyFont="1" applyFill="1" applyBorder="1" applyAlignment="1" applyProtection="1">
      <alignment horizontal="right"/>
      <protection locked="0"/>
    </xf>
    <xf numFmtId="182" fontId="124" fillId="33" borderId="34" xfId="1" applyNumberFormat="1" applyFont="1" applyFill="1" applyBorder="1" applyAlignment="1" applyProtection="1">
      <alignment horizontal="right"/>
      <protection locked="0"/>
    </xf>
    <xf numFmtId="182" fontId="124" fillId="33" borderId="36" xfId="1" applyNumberFormat="1" applyFont="1" applyFill="1" applyBorder="1" applyAlignment="1" applyProtection="1">
      <alignment horizontal="right"/>
      <protection locked="0"/>
    </xf>
    <xf numFmtId="38" fontId="124" fillId="33" borderId="27" xfId="2" applyFont="1" applyFill="1" applyBorder="1" applyAlignment="1" applyProtection="1">
      <alignment horizontal="center"/>
      <protection locked="0"/>
    </xf>
    <xf numFmtId="38" fontId="124" fillId="33" borderId="30" xfId="2" applyFont="1" applyFill="1" applyBorder="1" applyAlignment="1" applyProtection="1">
      <alignment horizontal="right"/>
      <protection locked="0"/>
    </xf>
    <xf numFmtId="38" fontId="124" fillId="33" borderId="10" xfId="2" applyFont="1" applyFill="1" applyBorder="1" applyAlignment="1" applyProtection="1">
      <alignment horizontal="right"/>
      <protection locked="0"/>
    </xf>
    <xf numFmtId="38" fontId="26" fillId="33" borderId="27" xfId="2" applyFont="1" applyFill="1" applyBorder="1" applyAlignment="1">
      <alignment horizontal="center"/>
    </xf>
    <xf numFmtId="182" fontId="26" fillId="0" borderId="82" xfId="1" applyNumberFormat="1" applyFont="1" applyFill="1" applyBorder="1" applyAlignment="1" applyProtection="1">
      <alignment horizontal="right"/>
      <protection locked="0"/>
    </xf>
    <xf numFmtId="38" fontId="17" fillId="0" borderId="62" xfId="2" applyFont="1" applyFill="1" applyBorder="1" applyAlignment="1">
      <alignment horizontal="center"/>
    </xf>
    <xf numFmtId="38" fontId="17" fillId="0" borderId="64" xfId="2" applyFont="1" applyFill="1" applyBorder="1" applyAlignment="1" applyProtection="1">
      <alignment horizontal="right"/>
      <protection locked="0"/>
    </xf>
    <xf numFmtId="38" fontId="17" fillId="0" borderId="66" xfId="2" applyFont="1" applyFill="1" applyBorder="1" applyAlignment="1" applyProtection="1">
      <alignment horizontal="right"/>
      <protection locked="0"/>
    </xf>
    <xf numFmtId="38" fontId="17" fillId="0" borderId="88" xfId="2" applyFont="1" applyFill="1" applyBorder="1" applyAlignment="1" applyProtection="1">
      <alignment horizontal="right"/>
      <protection locked="0"/>
    </xf>
    <xf numFmtId="182" fontId="24" fillId="0" borderId="72" xfId="1" applyNumberFormat="1" applyFont="1" applyFill="1" applyBorder="1" applyAlignment="1" applyProtection="1">
      <alignment horizontal="right"/>
      <protection locked="0"/>
    </xf>
    <xf numFmtId="38" fontId="17" fillId="0" borderId="62" xfId="2" applyFont="1" applyFill="1" applyBorder="1" applyAlignment="1" applyProtection="1">
      <alignment horizontal="right"/>
      <protection locked="0"/>
    </xf>
    <xf numFmtId="38" fontId="17" fillId="0" borderId="72" xfId="2" applyFont="1" applyFill="1" applyBorder="1" applyAlignment="1" applyProtection="1">
      <alignment horizontal="right"/>
      <protection locked="0"/>
    </xf>
    <xf numFmtId="38" fontId="24" fillId="0" borderId="73" xfId="2" applyFont="1" applyFill="1" applyBorder="1" applyAlignment="1" applyProtection="1">
      <alignment horizontal="right"/>
      <protection locked="0"/>
    </xf>
    <xf numFmtId="38" fontId="24" fillId="0" borderId="43" xfId="2" applyFont="1" applyFill="1" applyBorder="1" applyAlignment="1" applyProtection="1">
      <alignment horizontal="right"/>
      <protection locked="0"/>
    </xf>
    <xf numFmtId="38" fontId="17" fillId="0" borderId="73" xfId="2" applyFont="1" applyFill="1" applyBorder="1" applyAlignment="1" applyProtection="1">
      <alignment horizontal="right"/>
      <protection locked="0"/>
    </xf>
    <xf numFmtId="38" fontId="17" fillId="0" borderId="29" xfId="2" applyFont="1" applyFill="1" applyBorder="1" applyAlignment="1" applyProtection="1">
      <alignment horizontal="right"/>
      <protection locked="0"/>
    </xf>
    <xf numFmtId="38" fontId="17" fillId="0" borderId="54" xfId="2" applyFont="1" applyFill="1" applyBorder="1" applyAlignment="1" applyProtection="1">
      <alignment horizontal="right"/>
      <protection locked="0"/>
    </xf>
    <xf numFmtId="222" fontId="17" fillId="0" borderId="54" xfId="2" applyNumberFormat="1" applyFont="1" applyFill="1" applyBorder="1" applyAlignment="1" applyProtection="1">
      <alignment horizontal="right"/>
      <protection locked="0"/>
    </xf>
    <xf numFmtId="38" fontId="17" fillId="0" borderId="84" xfId="2" applyFont="1" applyFill="1" applyBorder="1" applyAlignment="1" applyProtection="1">
      <alignment horizontal="center"/>
    </xf>
    <xf numFmtId="38" fontId="17" fillId="0" borderId="85" xfId="2" applyFont="1" applyFill="1" applyBorder="1" applyAlignment="1" applyProtection="1">
      <alignment horizontal="right"/>
    </xf>
    <xf numFmtId="38" fontId="17" fillId="0" borderId="81" xfId="2" applyFont="1" applyFill="1" applyBorder="1" applyAlignment="1" applyProtection="1">
      <alignment horizontal="right"/>
    </xf>
    <xf numFmtId="38" fontId="17" fillId="0" borderId="86" xfId="2" applyFont="1" applyFill="1" applyBorder="1" applyAlignment="1" applyProtection="1">
      <alignment horizontal="right"/>
    </xf>
    <xf numFmtId="182" fontId="24" fillId="0" borderId="82" xfId="1" applyNumberFormat="1" applyFont="1" applyFill="1" applyBorder="1" applyAlignment="1" applyProtection="1">
      <alignment horizontal="right"/>
    </xf>
    <xf numFmtId="38" fontId="17" fillId="0" borderId="84" xfId="2" applyFont="1" applyFill="1" applyBorder="1" applyAlignment="1" applyProtection="1">
      <alignment horizontal="right"/>
    </xf>
    <xf numFmtId="38" fontId="17" fillId="0" borderId="82" xfId="2" applyNumberFormat="1" applyFont="1" applyFill="1" applyBorder="1" applyAlignment="1" applyProtection="1">
      <alignment horizontal="right"/>
    </xf>
    <xf numFmtId="38" fontId="24" fillId="0" borderId="16" xfId="2" applyNumberFormat="1" applyFont="1" applyFill="1" applyBorder="1" applyAlignment="1" applyProtection="1">
      <alignment horizontal="right"/>
    </xf>
    <xf numFmtId="38" fontId="24" fillId="0" borderId="58" xfId="2" applyNumberFormat="1" applyFont="1" applyFill="1" applyBorder="1" applyAlignment="1" applyProtection="1">
      <alignment horizontal="right"/>
    </xf>
    <xf numFmtId="38" fontId="17" fillId="0" borderId="16" xfId="2" applyNumberFormat="1" applyFont="1" applyFill="1" applyBorder="1" applyAlignment="1" applyProtection="1">
      <alignment horizontal="right"/>
    </xf>
    <xf numFmtId="38" fontId="17" fillId="0" borderId="81" xfId="2" applyNumberFormat="1" applyFont="1" applyFill="1" applyBorder="1" applyAlignment="1" applyProtection="1">
      <alignment horizontal="right"/>
    </xf>
    <xf numFmtId="38" fontId="17" fillId="0" borderId="87" xfId="2" applyNumberFormat="1" applyFont="1" applyFill="1" applyBorder="1" applyAlignment="1" applyProtection="1">
      <alignment horizontal="right"/>
    </xf>
    <xf numFmtId="38" fontId="17" fillId="0" borderId="58" xfId="2" applyNumberFormat="1" applyFont="1" applyFill="1" applyBorder="1" applyAlignment="1" applyProtection="1">
      <alignment horizontal="right"/>
    </xf>
    <xf numFmtId="222" fontId="17" fillId="0" borderId="58" xfId="2" applyNumberFormat="1" applyFont="1" applyFill="1" applyBorder="1" applyAlignment="1" applyProtection="1">
      <alignment horizontal="right"/>
    </xf>
    <xf numFmtId="38" fontId="17" fillId="33" borderId="27" xfId="2" applyFont="1" applyFill="1" applyBorder="1" applyAlignment="1">
      <alignment horizontal="center"/>
    </xf>
    <xf numFmtId="38" fontId="17" fillId="33" borderId="61" xfId="2" applyFont="1" applyFill="1" applyBorder="1" applyAlignment="1" applyProtection="1">
      <alignment horizontal="right"/>
      <protection locked="0"/>
    </xf>
    <xf numFmtId="38" fontId="17" fillId="33" borderId="32" xfId="2" applyFont="1" applyFill="1" applyBorder="1" applyAlignment="1" applyProtection="1">
      <alignment horizontal="right"/>
      <protection locked="0"/>
    </xf>
    <xf numFmtId="38" fontId="17" fillId="33" borderId="34" xfId="2" applyFont="1" applyFill="1" applyBorder="1" applyAlignment="1" applyProtection="1">
      <alignment horizontal="right"/>
      <protection locked="0"/>
    </xf>
    <xf numFmtId="38" fontId="24" fillId="33" borderId="30" xfId="2" applyFont="1" applyFill="1" applyBorder="1" applyAlignment="1" applyProtection="1">
      <alignment horizontal="right"/>
      <protection locked="0"/>
    </xf>
    <xf numFmtId="38" fontId="24" fillId="33" borderId="10" xfId="2" applyFont="1" applyFill="1" applyBorder="1" applyAlignment="1" applyProtection="1">
      <alignment horizontal="right"/>
      <protection locked="0"/>
    </xf>
    <xf numFmtId="38" fontId="17" fillId="33" borderId="30" xfId="2" applyFont="1" applyFill="1" applyBorder="1" applyAlignment="1" applyProtection="1">
      <alignment horizontal="right"/>
      <protection locked="0"/>
    </xf>
    <xf numFmtId="38" fontId="17" fillId="33" borderId="61" xfId="2" applyNumberFormat="1" applyFont="1" applyFill="1" applyBorder="1" applyAlignment="1" applyProtection="1">
      <alignment horizontal="right"/>
      <protection locked="0"/>
    </xf>
    <xf numFmtId="38" fontId="17" fillId="33" borderId="10" xfId="2" applyNumberFormat="1" applyFont="1" applyFill="1" applyBorder="1" applyAlignment="1" applyProtection="1">
      <alignment horizontal="right"/>
      <protection locked="0"/>
    </xf>
    <xf numFmtId="222" fontId="17" fillId="33" borderId="10" xfId="2" applyNumberFormat="1" applyFont="1" applyFill="1" applyBorder="1" applyAlignment="1" applyProtection="1">
      <alignment horizontal="right"/>
      <protection locked="0"/>
    </xf>
    <xf numFmtId="38" fontId="17" fillId="33" borderId="27" xfId="2" applyFont="1" applyFill="1" applyBorder="1" applyAlignment="1" applyProtection="1">
      <alignment horizontal="center"/>
    </xf>
    <xf numFmtId="38" fontId="17" fillId="33" borderId="63" xfId="2" applyFont="1" applyFill="1" applyBorder="1" applyAlignment="1" applyProtection="1">
      <alignment horizontal="right"/>
    </xf>
    <xf numFmtId="38" fontId="17" fillId="33" borderId="32" xfId="2" applyFont="1" applyFill="1" applyBorder="1" applyAlignment="1" applyProtection="1">
      <alignment horizontal="right"/>
    </xf>
    <xf numFmtId="38" fontId="17" fillId="33" borderId="67" xfId="2" applyFont="1" applyFill="1" applyBorder="1" applyAlignment="1" applyProtection="1">
      <alignment horizontal="right"/>
    </xf>
    <xf numFmtId="182" fontId="24" fillId="33" borderId="34" xfId="1" applyNumberFormat="1" applyFont="1" applyFill="1" applyBorder="1" applyAlignment="1" applyProtection="1">
      <alignment horizontal="right"/>
    </xf>
    <xf numFmtId="38" fontId="17" fillId="33" borderId="27" xfId="2" applyFont="1" applyFill="1" applyBorder="1" applyAlignment="1" applyProtection="1">
      <alignment horizontal="right"/>
    </xf>
    <xf numFmtId="38" fontId="17" fillId="33" borderId="34" xfId="2" applyFont="1" applyFill="1" applyBorder="1" applyAlignment="1" applyProtection="1">
      <alignment horizontal="right"/>
    </xf>
    <xf numFmtId="38" fontId="24" fillId="33" borderId="30" xfId="2" applyFont="1" applyFill="1" applyBorder="1" applyAlignment="1" applyProtection="1">
      <alignment horizontal="right"/>
    </xf>
    <xf numFmtId="38" fontId="24" fillId="33" borderId="10" xfId="2" applyFont="1" applyFill="1" applyBorder="1" applyAlignment="1" applyProtection="1">
      <alignment horizontal="right"/>
    </xf>
    <xf numFmtId="38" fontId="17" fillId="33" borderId="30" xfId="2" applyFont="1" applyFill="1" applyBorder="1" applyAlignment="1" applyProtection="1">
      <alignment horizontal="right"/>
    </xf>
    <xf numFmtId="38" fontId="17" fillId="33" borderId="61" xfId="2" applyFont="1" applyFill="1" applyBorder="1" applyAlignment="1" applyProtection="1">
      <alignment horizontal="right"/>
    </xf>
    <xf numFmtId="38" fontId="17" fillId="33" borderId="10" xfId="2" applyFont="1" applyFill="1" applyBorder="1" applyAlignment="1" applyProtection="1">
      <alignment horizontal="right"/>
    </xf>
    <xf numFmtId="222" fontId="17" fillId="33" borderId="10" xfId="2" applyNumberFormat="1" applyFont="1" applyFill="1" applyBorder="1" applyAlignment="1" applyProtection="1">
      <alignment horizontal="right"/>
    </xf>
    <xf numFmtId="3" fontId="124" fillId="33" borderId="32" xfId="2" applyNumberFormat="1" applyFont="1" applyFill="1" applyBorder="1" applyAlignment="1" applyProtection="1">
      <alignment horizontal="right"/>
      <protection locked="0"/>
    </xf>
    <xf numFmtId="182" fontId="124" fillId="33" borderId="30" xfId="1" applyNumberFormat="1" applyFont="1" applyFill="1" applyBorder="1" applyAlignment="1" applyProtection="1">
      <alignment horizontal="right"/>
      <protection locked="0"/>
    </xf>
    <xf numFmtId="182" fontId="124" fillId="33" borderId="37" xfId="1" applyNumberFormat="1" applyFont="1" applyFill="1" applyBorder="1" applyAlignment="1" applyProtection="1">
      <alignment horizontal="right"/>
      <protection locked="0"/>
    </xf>
    <xf numFmtId="38" fontId="124" fillId="33" borderId="37" xfId="2" applyFont="1" applyFill="1" applyBorder="1" applyAlignment="1" applyProtection="1">
      <alignment horizontal="right" wrapText="1"/>
      <protection locked="0"/>
    </xf>
    <xf numFmtId="38" fontId="17" fillId="33" borderId="67" xfId="2" applyFont="1" applyFill="1" applyBorder="1" applyAlignment="1" applyProtection="1">
      <alignment horizontal="right"/>
      <protection locked="0"/>
    </xf>
    <xf numFmtId="182" fontId="24" fillId="33" borderId="34" xfId="1" applyNumberFormat="1" applyFont="1" applyFill="1" applyBorder="1" applyAlignment="1" applyProtection="1">
      <alignment horizontal="right"/>
      <protection locked="0"/>
    </xf>
    <xf numFmtId="38" fontId="17" fillId="33" borderId="27" xfId="2" applyFont="1" applyFill="1" applyBorder="1" applyAlignment="1" applyProtection="1">
      <alignment horizontal="right"/>
      <protection locked="0"/>
    </xf>
    <xf numFmtId="38" fontId="17" fillId="32" borderId="68" xfId="2" applyFont="1" applyFill="1" applyBorder="1" applyAlignment="1" applyProtection="1">
      <alignment horizontal="right"/>
      <protection locked="0"/>
    </xf>
    <xf numFmtId="38" fontId="17" fillId="32" borderId="28" xfId="2" applyFont="1" applyFill="1" applyBorder="1" applyAlignment="1" applyProtection="1">
      <alignment horizontal="right"/>
      <protection locked="0"/>
    </xf>
    <xf numFmtId="38" fontId="17" fillId="32" borderId="55" xfId="2" applyFont="1" applyFill="1" applyBorder="1" applyAlignment="1" applyProtection="1">
      <alignment horizontal="right"/>
      <protection locked="0"/>
    </xf>
    <xf numFmtId="38" fontId="26" fillId="34" borderId="31" xfId="2" applyFont="1" applyFill="1" applyBorder="1" applyAlignment="1" applyProtection="1">
      <alignment horizontal="right"/>
      <protection locked="0"/>
    </xf>
    <xf numFmtId="182" fontId="26" fillId="34" borderId="40" xfId="1" applyNumberFormat="1" applyFont="1" applyFill="1" applyBorder="1" applyAlignment="1" applyProtection="1">
      <alignment horizontal="right"/>
      <protection locked="0"/>
    </xf>
    <xf numFmtId="3" fontId="26" fillId="34" borderId="31" xfId="2" applyNumberFormat="1" applyFont="1" applyFill="1" applyBorder="1" applyAlignment="1" applyProtection="1">
      <alignment horizontal="right"/>
      <protection locked="0"/>
    </xf>
    <xf numFmtId="182" fontId="26" fillId="34" borderId="41" xfId="1" applyNumberFormat="1" applyFont="1" applyFill="1" applyBorder="1" applyAlignment="1" applyProtection="1">
      <alignment horizontal="right"/>
      <protection locked="0"/>
    </xf>
    <xf numFmtId="38" fontId="26" fillId="34" borderId="39" xfId="2" applyFont="1" applyFill="1" applyBorder="1" applyAlignment="1" applyProtection="1">
      <alignment horizontal="right"/>
      <protection locked="0"/>
    </xf>
    <xf numFmtId="182" fontId="26" fillId="34" borderId="42" xfId="1" applyNumberFormat="1" applyFont="1" applyFill="1" applyBorder="1" applyAlignment="1" applyProtection="1">
      <alignment horizontal="right"/>
      <protection locked="0"/>
    </xf>
    <xf numFmtId="38" fontId="26" fillId="34" borderId="48" xfId="2" applyFont="1" applyFill="1" applyBorder="1" applyAlignment="1" applyProtection="1">
      <alignment horizontal="right"/>
      <protection locked="0"/>
    </xf>
    <xf numFmtId="38" fontId="26" fillId="34" borderId="42" xfId="2" applyFont="1" applyFill="1" applyBorder="1" applyAlignment="1" applyProtection="1">
      <alignment horizontal="right" wrapText="1"/>
      <protection locked="0"/>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26" fillId="0" borderId="21" xfId="0" applyFont="1" applyFill="1" applyBorder="1" applyAlignment="1">
      <alignment horizontal="left" wrapText="1"/>
    </xf>
    <xf numFmtId="0" fontId="26" fillId="0" borderId="3" xfId="0" applyFont="1" applyFill="1" applyBorder="1" applyAlignment="1">
      <alignment horizontal="left" wrapText="1"/>
    </xf>
    <xf numFmtId="0" fontId="26" fillId="0" borderId="3" xfId="0" applyFont="1" applyFill="1" applyBorder="1" applyAlignment="1">
      <alignment horizontal="left"/>
    </xf>
    <xf numFmtId="0" fontId="26" fillId="0" borderId="25" xfId="0" applyFont="1" applyFill="1" applyBorder="1" applyAlignment="1">
      <alignment horizontal="left"/>
    </xf>
    <xf numFmtId="0" fontId="26" fillId="0" borderId="13" xfId="0" applyFont="1" applyFill="1" applyBorder="1" applyAlignment="1">
      <alignment horizontal="left"/>
    </xf>
    <xf numFmtId="0" fontId="26" fillId="0" borderId="53" xfId="0" applyFont="1" applyFill="1" applyBorder="1" applyAlignment="1">
      <alignment horizontal="left" wrapText="1"/>
    </xf>
    <xf numFmtId="0" fontId="26" fillId="0" borderId="0" xfId="0" applyFont="1" applyFill="1" applyBorder="1" applyAlignment="1">
      <alignment horizontal="left" wrapText="1"/>
    </xf>
    <xf numFmtId="0" fontId="26" fillId="0" borderId="22" xfId="0" applyFont="1" applyFill="1" applyBorder="1" applyAlignment="1">
      <alignment horizontal="left" wrapText="1"/>
    </xf>
    <xf numFmtId="0" fontId="26" fillId="0" borderId="17" xfId="0" applyFont="1" applyFill="1" applyBorder="1" applyAlignment="1">
      <alignment horizontal="left" wrapText="1"/>
    </xf>
    <xf numFmtId="0" fontId="26" fillId="0" borderId="24" xfId="0" applyFont="1" applyFill="1" applyBorder="1" applyAlignment="1">
      <alignment horizontal="left" wrapText="1"/>
    </xf>
    <xf numFmtId="0" fontId="26" fillId="0" borderId="23" xfId="0" applyFont="1" applyFill="1" applyBorder="1" applyAlignment="1">
      <alignment horizontal="left" wrapText="1"/>
    </xf>
    <xf numFmtId="0" fontId="26" fillId="0" borderId="25" xfId="0" applyFont="1" applyFill="1" applyBorder="1" applyAlignment="1">
      <alignment horizontal="left" wrapText="1"/>
    </xf>
    <xf numFmtId="0" fontId="26" fillId="0" borderId="13" xfId="0" applyFont="1" applyFill="1" applyBorder="1" applyAlignment="1">
      <alignment horizontal="left" wrapText="1"/>
    </xf>
    <xf numFmtId="0" fontId="26" fillId="0" borderId="11" xfId="0" applyFont="1" applyFill="1" applyBorder="1" applyAlignment="1">
      <alignment horizontal="left" wrapText="1"/>
    </xf>
    <xf numFmtId="0" fontId="26" fillId="0" borderId="31" xfId="0" applyFont="1" applyFill="1" applyBorder="1" applyAlignment="1">
      <alignment horizontal="left" wrapText="1"/>
    </xf>
    <xf numFmtId="0" fontId="26" fillId="0" borderId="33" xfId="0" applyFont="1" applyFill="1" applyBorder="1" applyAlignment="1">
      <alignment horizontal="left" wrapText="1"/>
    </xf>
    <xf numFmtId="0" fontId="26" fillId="0" borderId="35" xfId="0" applyFont="1" applyFill="1" applyBorder="1" applyAlignment="1">
      <alignment horizontal="left" wrapText="1"/>
    </xf>
    <xf numFmtId="0" fontId="8" fillId="0" borderId="0" xfId="0" applyFont="1" applyFill="1" applyAlignment="1">
      <alignment horizontal="left" vertical="center" wrapText="1"/>
    </xf>
    <xf numFmtId="0" fontId="26" fillId="0" borderId="83" xfId="0" applyFont="1" applyFill="1" applyBorder="1" applyAlignment="1">
      <alignment horizontal="left" wrapText="1"/>
    </xf>
    <xf numFmtId="0" fontId="26" fillId="0" borderId="60" xfId="0" applyFont="1" applyFill="1" applyBorder="1" applyAlignment="1">
      <alignment horizontal="left" wrapText="1"/>
    </xf>
    <xf numFmtId="0" fontId="26" fillId="28" borderId="23" xfId="0" applyFont="1" applyFill="1" applyBorder="1" applyAlignment="1">
      <alignment horizontal="center"/>
    </xf>
    <xf numFmtId="0" fontId="26" fillId="28" borderId="0" xfId="0" applyFont="1" applyFill="1" applyBorder="1" applyAlignment="1">
      <alignment horizontal="center"/>
    </xf>
    <xf numFmtId="0" fontId="26" fillId="0" borderId="65" xfId="0" applyFont="1" applyFill="1" applyBorder="1" applyAlignment="1">
      <alignment horizontal="left" wrapText="1"/>
    </xf>
    <xf numFmtId="0" fontId="26" fillId="28" borderId="64" xfId="0" applyFont="1" applyFill="1" applyBorder="1" applyAlignment="1">
      <alignment horizontal="center" wrapText="1"/>
    </xf>
    <xf numFmtId="0" fontId="26" fillId="28" borderId="73" xfId="0" applyFont="1" applyFill="1" applyBorder="1" applyAlignment="1">
      <alignment horizontal="center" wrapText="1"/>
    </xf>
    <xf numFmtId="0" fontId="15" fillId="0" borderId="21"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38" fontId="26" fillId="0" borderId="24" xfId="2" applyFont="1" applyFill="1" applyBorder="1" applyAlignment="1">
      <alignment horizontal="left" wrapText="1"/>
    </xf>
    <xf numFmtId="38" fontId="26" fillId="0" borderId="23" xfId="2" applyFont="1" applyFill="1" applyBorder="1" applyAlignment="1">
      <alignment horizontal="left" wrapText="1"/>
    </xf>
    <xf numFmtId="38" fontId="26" fillId="0" borderId="22" xfId="2" applyFont="1" applyFill="1" applyBorder="1" applyAlignment="1">
      <alignment horizontal="left" wrapText="1"/>
    </xf>
    <xf numFmtId="38" fontId="26" fillId="0" borderId="17" xfId="2" applyFont="1" applyFill="1" applyBorder="1" applyAlignment="1">
      <alignment horizontal="left" wrapText="1"/>
    </xf>
    <xf numFmtId="0" fontId="26" fillId="0" borderId="73" xfId="0" applyFont="1" applyFill="1" applyBorder="1" applyAlignment="1">
      <alignment horizontal="center"/>
    </xf>
    <xf numFmtId="0" fontId="26" fillId="0" borderId="30" xfId="0" applyFont="1" applyFill="1" applyBorder="1" applyAlignment="1">
      <alignment horizontal="center"/>
    </xf>
    <xf numFmtId="0" fontId="26" fillId="0" borderId="0" xfId="0" applyFont="1" applyFill="1" applyBorder="1" applyAlignment="1">
      <alignment horizontal="left"/>
    </xf>
    <xf numFmtId="0" fontId="26" fillId="0" borderId="31" xfId="0" applyFont="1" applyFill="1" applyBorder="1" applyAlignment="1">
      <alignment horizontal="left"/>
    </xf>
    <xf numFmtId="0" fontId="26" fillId="0" borderId="33" xfId="0" applyFont="1" applyFill="1" applyBorder="1" applyAlignment="1">
      <alignment horizontal="left"/>
    </xf>
    <xf numFmtId="0" fontId="26" fillId="0" borderId="17" xfId="0" applyFont="1" applyFill="1" applyBorder="1" applyAlignment="1">
      <alignment horizontal="left"/>
    </xf>
    <xf numFmtId="0" fontId="26" fillId="0" borderId="35" xfId="0" applyFont="1" applyFill="1" applyBorder="1" applyAlignment="1">
      <alignment horizontal="left"/>
    </xf>
    <xf numFmtId="0" fontId="8" fillId="0" borderId="0" xfId="0" applyFont="1" applyAlignment="1">
      <alignment horizontal="left" vertical="center" wrapText="1"/>
    </xf>
    <xf numFmtId="49" fontId="8" fillId="0" borderId="5" xfId="0" applyNumberFormat="1" applyFont="1" applyFill="1" applyBorder="1" applyAlignment="1">
      <alignment horizontal="center" vertical="center"/>
    </xf>
  </cellXfs>
  <cellStyles count="340">
    <cellStyle name="-" xfId="4" xr:uid="{00000000-0005-0000-0000-000007000000}"/>
    <cellStyle name="-#,###" xfId="5" xr:uid="{00000000-0005-0000-0000-000008000000}"/>
    <cellStyle name="??&amp;O?&amp;H?_x0008__x000f__x0007_?_x0007__x0001__x0001_" xfId="6" xr:uid="{00000000-0005-0000-0000-000009000000}"/>
    <cellStyle name="??&amp;O?&amp;H?_x0008_??_x0007__x0001__x0001_" xfId="7" xr:uid="{00000000-0005-0000-0000-00000A000000}"/>
    <cellStyle name="_~1547116" xfId="8" xr:uid="{00000000-0005-0000-0000-00000B000000}"/>
    <cellStyle name="_050_24113_0804" xfId="9" xr:uid="{00000000-0005-0000-0000-00000C000000}"/>
    <cellStyle name="_050_24113_0805" xfId="10" xr:uid="{00000000-0005-0000-0000-00000D000000}"/>
    <cellStyle name="_050_24114_0805" xfId="11" xr:uid="{00000000-0005-0000-0000-00000E000000}"/>
    <cellStyle name="_'99상반기경영개선활동결과(게시용)" xfId="12" xr:uid="{00000000-0005-0000-0000-00000F000000}"/>
    <cellStyle name="_A1.1" xfId="13" xr:uid="{00000000-0005-0000-0000-000010000000}"/>
    <cellStyle name="_A-9" xfId="14" xr:uid="{00000000-0005-0000-0000-000011000000}"/>
    <cellStyle name="_A-9_Sweep Query" xfId="15" xr:uid="{00000000-0005-0000-0000-000012000000}"/>
    <cellStyle name="_A-9-1" xfId="16" xr:uid="{00000000-0005-0000-0000-000013000000}"/>
    <cellStyle name="_A-9-1_Sweep Query" xfId="17" xr:uid="{00000000-0005-0000-0000-000014000000}"/>
    <cellStyle name="_A-9-2" xfId="18" xr:uid="{00000000-0005-0000-0000-000015000000}"/>
    <cellStyle name="_A-9-2_Sweep Query" xfId="19" xr:uid="{00000000-0005-0000-0000-000016000000}"/>
    <cellStyle name="_FY06 ADJ" xfId="20" xr:uid="{00000000-0005-0000-0000-000017000000}"/>
    <cellStyle name="_FY06 comm&amp;bonus accrual" xfId="21" xr:uid="{00000000-0005-0000-0000-000018000000}"/>
    <cellStyle name="_FY07 APAC QUOTA CLUB draft2_a" xfId="22" xr:uid="{00000000-0005-0000-0000-000019000000}"/>
    <cellStyle name="_FY08Q4 una_cash" xfId="23" xr:uid="{00000000-0005-0000-0000-00001A000000}"/>
    <cellStyle name="_GL-BJ-APR-07 Quota Club Accrual Apr-08" xfId="24" xr:uid="{00000000-0005-0000-0000-00001B000000}"/>
    <cellStyle name="_GL-BJ-FEB-14 Quota Club Accrual Feb-08" xfId="25" xr:uid="{00000000-0005-0000-0000-00001C000000}"/>
    <cellStyle name="_GL-BJ-MAY-01 Quota Club Trueup FY07 May08" xfId="26" xr:uid="{00000000-0005-0000-0000-00001D000000}"/>
    <cellStyle name="_GL-BJ-MAY-02 Quota Club Accrual May08" xfId="27" xr:uid="{00000000-0005-0000-0000-00001E000000}"/>
    <cellStyle name="_GL-NS-APR-02-Non PO Accrual Exp-Apr-08" xfId="28" xr:uid="{00000000-0005-0000-0000-00001F000000}"/>
    <cellStyle name="_GL-NS-FEB-05-Non PO Accrual Exp-Feb-08" xfId="29" xr:uid="{00000000-0005-0000-0000-000020000000}"/>
    <cellStyle name="_GL-NS-MAY-06-Non PO Accrual Exp-May-08" xfId="30" xr:uid="{00000000-0005-0000-0000-000021000000}"/>
    <cellStyle name="_Korea Siebel Accounting JOurnal(2006.8.14 updated)" xfId="31" xr:uid="{00000000-0005-0000-0000-000022000000}"/>
    <cellStyle name="_MJ25-MAY-06-SEIBEL EMP SERVERANCEPAY ACCRUAL" xfId="32" xr:uid="{00000000-0005-0000-0000-000023000000}"/>
    <cellStyle name="_MNDI Tracking File-FY06-Accruals1" xfId="33" xr:uid="{00000000-0005-0000-0000-000024000000}"/>
    <cellStyle name="_Payable Final all - May-2008_Local" xfId="34" xr:uid="{00000000-0005-0000-0000-000025000000}"/>
    <cellStyle name="_Payable Final all - Nov-2007 " xfId="35" xr:uid="{00000000-0005-0000-0000-000026000000}"/>
    <cellStyle name="_suzie_KR_Accrual_(Jan 2006)" xfId="36" xr:uid="{00000000-0005-0000-0000-000027000000}"/>
    <cellStyle name="_감사조서1" xfId="37" xr:uid="{00000000-0005-0000-0000-000028000000}"/>
    <cellStyle name="_동양매직-03(LHY)" xfId="38" xr:uid="{00000000-0005-0000-0000-000029000000}"/>
    <cellStyle name="_별첨(계획서및실적서양식)" xfId="39" xr:uid="{00000000-0005-0000-0000-00002A000000}"/>
    <cellStyle name="_별첨(계획서및실적서양식)_1" xfId="40" xr:uid="{00000000-0005-0000-0000-00002B000000}"/>
    <cellStyle name="_별첨(계획서및실적서양식)_1_Sweep Query" xfId="41" xr:uid="{00000000-0005-0000-0000-00002C000000}"/>
    <cellStyle name="-_안진조서요약-유로넥스트(03)(LHY)" xfId="42" xr:uid="{00000000-0005-0000-0000-00002D000000}"/>
    <cellStyle name="-_안진조서요약-유로넥스트(03)(LHY)_안진조서요약-유로넥스트(03)(LHY)" xfId="43" xr:uid="{00000000-0005-0000-0000-00002E000000}"/>
    <cellStyle name="-_안진조서요약-유로넥스트(03)(LHY)_안진조서요약-유로넥스트(03)(LHY)_유로넥스트(03)(LHY)" xfId="44" xr:uid="{00000000-0005-0000-0000-00002F000000}"/>
    <cellStyle name="-_안진조서요약-유로넥스트(03)(LHY)_유로넥스트(03)(LHY)" xfId="45" xr:uid="{00000000-0005-0000-0000-000030000000}"/>
    <cellStyle name="-_안진조서요약-유로넥스트(03)(LHY)_유로넥스트(03)(LHY)_유로넥스트(03)(LHY)" xfId="46" xr:uid="{00000000-0005-0000-0000-000031000000}"/>
    <cellStyle name="_양식" xfId="47" xr:uid="{00000000-0005-0000-0000-000032000000}"/>
    <cellStyle name="_양식_1" xfId="48" xr:uid="{00000000-0005-0000-0000-000033000000}"/>
    <cellStyle name="_양식_2" xfId="49" xr:uid="{00000000-0005-0000-0000-000034000000}"/>
    <cellStyle name="_양식_Sweep Query" xfId="50" xr:uid="{00000000-0005-0000-0000-000035000000}"/>
    <cellStyle name="_양양레미콘" xfId="51" xr:uid="{00000000-0005-0000-0000-000036000000}"/>
    <cellStyle name="-_유로넥스트(03)(LHY)" xfId="52" xr:uid="{00000000-0005-0000-0000-000037000000}"/>
    <cellStyle name="_유첨3(서식)" xfId="53" xr:uid="{00000000-0005-0000-0000-000038000000}"/>
    <cellStyle name="_유첨3(서식)_1" xfId="54" xr:uid="{00000000-0005-0000-0000-000039000000}"/>
    <cellStyle name="_유첨3(서식)_Sweep Query" xfId="55" xr:uid="{00000000-0005-0000-0000-00003A000000}"/>
    <cellStyle name="_지정과제2차심의list" xfId="56" xr:uid="{00000000-0005-0000-0000-00003B000000}"/>
    <cellStyle name="_지정과제2차심의list_1" xfId="57" xr:uid="{00000000-0005-0000-0000-00003C000000}"/>
    <cellStyle name="_지정과제2차심의list_2" xfId="58" xr:uid="{00000000-0005-0000-0000-00003D000000}"/>
    <cellStyle name="_지정과제2차심의list_2_Sweep Query" xfId="59" xr:uid="{00000000-0005-0000-0000-00003E000000}"/>
    <cellStyle name="_지정과제2차심의결과" xfId="60" xr:uid="{00000000-0005-0000-0000-00003F000000}"/>
    <cellStyle name="_지정과제2차심의결과(금액조정후최종)" xfId="61" xr:uid="{00000000-0005-0000-0000-000040000000}"/>
    <cellStyle name="_지정과제2차심의결과(금액조정후최종)_1" xfId="62" xr:uid="{00000000-0005-0000-0000-000041000000}"/>
    <cellStyle name="_지정과제2차심의결과(금액조정후최종)_Sweep Query" xfId="63" xr:uid="{00000000-0005-0000-0000-000042000000}"/>
    <cellStyle name="_지정과제2차심의결과_1" xfId="64" xr:uid="{00000000-0005-0000-0000-000043000000}"/>
    <cellStyle name="_지정과제2차심의결과_Sweep Query" xfId="65" xr:uid="{00000000-0005-0000-0000-000044000000}"/>
    <cellStyle name="_집중관리(981231)" xfId="66" xr:uid="{00000000-0005-0000-0000-000045000000}"/>
    <cellStyle name="_집중관리(981231)_1" xfId="67" xr:uid="{00000000-0005-0000-0000-000046000000}"/>
    <cellStyle name="_집중관리(981231)_1_Sweep Query" xfId="68" xr:uid="{00000000-0005-0000-0000-000047000000}"/>
    <cellStyle name="_집중관리(지정과제및 양식)" xfId="69" xr:uid="{00000000-0005-0000-0000-000048000000}"/>
    <cellStyle name="_집중관리(지정과제및 양식)_1" xfId="70" xr:uid="{00000000-0005-0000-0000-000049000000}"/>
    <cellStyle name="_집중관리(지정과제및 양식)_Sweep Query" xfId="71" xr:uid="{00000000-0005-0000-0000-00004A000000}"/>
    <cellStyle name="¿­¾îº» ÇÏÀÌÆÛ¸µÅ©" xfId="72" xr:uid="{00000000-0005-0000-0000-00004B000000}"/>
    <cellStyle name="⥜준_제강원가최종_1" xfId="297" xr:uid="{00000000-0005-0000-0000-00002C010000}"/>
    <cellStyle name="\|IEEnCp[N" xfId="73" xr:uid="{00000000-0005-0000-0000-00004C000000}"/>
    <cellStyle name="nCp[N" xfId="180" xr:uid="{00000000-0005-0000-0000-0000B7000000}"/>
    <cellStyle name="0,0_x000d__x000a_NA_x000d__x000a_" xfId="74" xr:uid="{00000000-0005-0000-0000-00004D000000}"/>
    <cellStyle name="1 000 K?_RESULTS" xfId="75" xr:uid="{00000000-0005-0000-0000-00004E000000}"/>
    <cellStyle name="¹eºÐA²_±aA¸" xfId="76" xr:uid="{00000000-0005-0000-0000-00004F000000}"/>
    <cellStyle name="20% - Accent1" xfId="77" xr:uid="{00000000-0005-0000-0000-000050000000}"/>
    <cellStyle name="20% - Accent2" xfId="78" xr:uid="{00000000-0005-0000-0000-000051000000}"/>
    <cellStyle name="20% - Accent3" xfId="79" xr:uid="{00000000-0005-0000-0000-000052000000}"/>
    <cellStyle name="20% - Accent4" xfId="80" xr:uid="{00000000-0005-0000-0000-000053000000}"/>
    <cellStyle name="20% - Accent5" xfId="81" xr:uid="{00000000-0005-0000-0000-000054000000}"/>
    <cellStyle name="20% - Accent6" xfId="82" xr:uid="{00000000-0005-0000-0000-000055000000}"/>
    <cellStyle name="_x0004_3;_x0018_" xfId="83" xr:uid="{00000000-0005-0000-0000-000056000000}"/>
    <cellStyle name="40% - Accent1" xfId="84" xr:uid="{00000000-0005-0000-0000-000057000000}"/>
    <cellStyle name="40% - Accent2" xfId="85" xr:uid="{00000000-0005-0000-0000-000058000000}"/>
    <cellStyle name="40% - Accent3" xfId="86" xr:uid="{00000000-0005-0000-0000-000059000000}"/>
    <cellStyle name="40% - Accent4" xfId="87" xr:uid="{00000000-0005-0000-0000-00005A000000}"/>
    <cellStyle name="40% - Accent5" xfId="88" xr:uid="{00000000-0005-0000-0000-00005B000000}"/>
    <cellStyle name="40% - Accent6" xfId="89" xr:uid="{00000000-0005-0000-0000-00005C000000}"/>
    <cellStyle name="60% - Accent1" xfId="90" xr:uid="{00000000-0005-0000-0000-00005D000000}"/>
    <cellStyle name="60% - Accent2" xfId="91" xr:uid="{00000000-0005-0000-0000-00005E000000}"/>
    <cellStyle name="60% - Accent3" xfId="92" xr:uid="{00000000-0005-0000-0000-00005F000000}"/>
    <cellStyle name="60% - Accent4" xfId="93" xr:uid="{00000000-0005-0000-0000-000060000000}"/>
    <cellStyle name="60% - Accent5" xfId="94" xr:uid="{00000000-0005-0000-0000-000061000000}"/>
    <cellStyle name="60% - Accent6" xfId="95" xr:uid="{00000000-0005-0000-0000-000062000000}"/>
    <cellStyle name="Accent1" xfId="96" xr:uid="{00000000-0005-0000-0000-000063000000}"/>
    <cellStyle name="Accent2" xfId="97" xr:uid="{00000000-0005-0000-0000-000064000000}"/>
    <cellStyle name="Accent3" xfId="98" xr:uid="{00000000-0005-0000-0000-000065000000}"/>
    <cellStyle name="Accent4" xfId="99" xr:uid="{00000000-0005-0000-0000-000066000000}"/>
    <cellStyle name="Accent5" xfId="100" xr:uid="{00000000-0005-0000-0000-000067000000}"/>
    <cellStyle name="Accent6" xfId="101" xr:uid="{00000000-0005-0000-0000-000068000000}"/>
    <cellStyle name="Accounting" xfId="102" xr:uid="{00000000-0005-0000-0000-000069000000}"/>
    <cellStyle name="AeE­ [0]_¿­¸° INT" xfId="103" xr:uid="{00000000-0005-0000-0000-00006A000000}"/>
    <cellStyle name="ÅëÈ­ [0]_97MBO" xfId="104" xr:uid="{00000000-0005-0000-0000-00006B000000}"/>
    <cellStyle name="AeE­_¿­¸° INT" xfId="105" xr:uid="{00000000-0005-0000-0000-00006C000000}"/>
    <cellStyle name="ÅëÈ­_97MBO" xfId="106" xr:uid="{00000000-0005-0000-0000-00006D000000}"/>
    <cellStyle name="AoA¤μCAo ¾EA½" xfId="107" xr:uid="{00000000-0005-0000-0000-00006E000000}"/>
    <cellStyle name="AÞ¸¶ [0]_¿­¸° INT" xfId="108" xr:uid="{00000000-0005-0000-0000-00006F000000}"/>
    <cellStyle name="ÄÞ¸¶ [0]_95" xfId="109" xr:uid="{00000000-0005-0000-0000-000070000000}"/>
    <cellStyle name="AÞ¸¶_¿­¸° INT" xfId="110" xr:uid="{00000000-0005-0000-0000-000071000000}"/>
    <cellStyle name="ÄÞ¸¶_95" xfId="111" xr:uid="{00000000-0005-0000-0000-000072000000}"/>
    <cellStyle name="Bad" xfId="112" xr:uid="{00000000-0005-0000-0000-000073000000}"/>
    <cellStyle name="Body" xfId="113" xr:uid="{00000000-0005-0000-0000-000074000000}"/>
    <cellStyle name="BOLD - Style2" xfId="114" xr:uid="{00000000-0005-0000-0000-000075000000}"/>
    <cellStyle name="C￥AØ_¸AAa.¼OAI " xfId="115" xr:uid="{00000000-0005-0000-0000-000076000000}"/>
    <cellStyle name="Ç¥ÁØ_AR" xfId="116" xr:uid="{00000000-0005-0000-0000-000077000000}"/>
    <cellStyle name="C00L" xfId="117" xr:uid="{00000000-0005-0000-0000-000078000000}"/>
    <cellStyle name="Calc Currency (0)" xfId="118" xr:uid="{00000000-0005-0000-0000-000079000000}"/>
    <cellStyle name="Calculation" xfId="119" xr:uid="{00000000-0005-0000-0000-00007A000000}"/>
    <cellStyle name="category" xfId="120" xr:uid="{00000000-0005-0000-0000-00007B000000}"/>
    <cellStyle name="CCY$[0]" xfId="121" xr:uid="{00000000-0005-0000-0000-00007C000000}"/>
    <cellStyle name="CCY$[2]" xfId="122" xr:uid="{00000000-0005-0000-0000-00007D000000}"/>
    <cellStyle name="CCY\[0]" xfId="123" xr:uid="{00000000-0005-0000-0000-00007E000000}"/>
    <cellStyle name="Char" xfId="124" xr:uid="{00000000-0005-0000-0000-00007F000000}"/>
    <cellStyle name="Check Cell" xfId="125" xr:uid="{00000000-0005-0000-0000-000080000000}"/>
    <cellStyle name="ÇÏÀÌÆÛ¸µÅ©" xfId="126" xr:uid="{00000000-0005-0000-0000-000081000000}"/>
    <cellStyle name="ColumnAttributeAbovePrompt" xfId="127" xr:uid="{00000000-0005-0000-0000-000082000000}"/>
    <cellStyle name="ColumnAttributePrompt" xfId="128" xr:uid="{00000000-0005-0000-0000-000083000000}"/>
    <cellStyle name="ColumnAttributeValue" xfId="129" xr:uid="{00000000-0005-0000-0000-000084000000}"/>
    <cellStyle name="ColumnHeadingPrompt" xfId="130" xr:uid="{00000000-0005-0000-0000-000085000000}"/>
    <cellStyle name="ColumnHeadingValue" xfId="131" xr:uid="{00000000-0005-0000-0000-000086000000}"/>
    <cellStyle name="Comma 108" xfId="317" xr:uid="{00000000-0005-0000-0000-000040010000}"/>
    <cellStyle name="comma zerodec" xfId="132" xr:uid="{00000000-0005-0000-0000-000087000000}"/>
    <cellStyle name="Comma[0]" xfId="133" xr:uid="{00000000-0005-0000-0000-000088000000}"/>
    <cellStyle name="Comma[2]" xfId="134" xr:uid="{00000000-0005-0000-0000-000089000000}"/>
    <cellStyle name="Copied" xfId="135" xr:uid="{00000000-0005-0000-0000-00008A000000}"/>
    <cellStyle name="Currency 16" xfId="318" xr:uid="{00000000-0005-0000-0000-000041010000}"/>
    <cellStyle name="Currency1" xfId="136" xr:uid="{00000000-0005-0000-0000-00008B000000}"/>
    <cellStyle name="dak" xfId="137" xr:uid="{00000000-0005-0000-0000-00008C000000}"/>
    <cellStyle name="Date" xfId="138" xr:uid="{00000000-0005-0000-0000-00008D000000}"/>
    <cellStyle name="Dezimal [0]_laroux" xfId="139" xr:uid="{00000000-0005-0000-0000-00008E000000}"/>
    <cellStyle name="Dezimal_laroux" xfId="140" xr:uid="{00000000-0005-0000-0000-00008F000000}"/>
    <cellStyle name="Dollar (zero dec)" xfId="141" xr:uid="{00000000-0005-0000-0000-000090000000}"/>
    <cellStyle name="Entered" xfId="142" xr:uid="{00000000-0005-0000-0000-000091000000}"/>
    <cellStyle name="entry" xfId="143" xr:uid="{00000000-0005-0000-0000-000092000000}"/>
    <cellStyle name="Euro" xfId="144" xr:uid="{00000000-0005-0000-0000-000093000000}"/>
    <cellStyle name="Expense欄" xfId="145" xr:uid="{00000000-0005-0000-0000-000094000000}"/>
    <cellStyle name="Explanatory Text" xfId="146" xr:uid="{00000000-0005-0000-0000-000095000000}"/>
    <cellStyle name="Fixed" xfId="147" xr:uid="{00000000-0005-0000-0000-000096000000}"/>
    <cellStyle name="Followed Hyperlink" xfId="148" xr:uid="{00000000-0005-0000-0000-000097000000}"/>
    <cellStyle name="Good" xfId="149" xr:uid="{00000000-0005-0000-0000-000098000000}"/>
    <cellStyle name="Grey" xfId="150" xr:uid="{00000000-0005-0000-0000-000099000000}"/>
    <cellStyle name="HEADER" xfId="151" xr:uid="{00000000-0005-0000-0000-00009A000000}"/>
    <cellStyle name="Header1" xfId="152" xr:uid="{00000000-0005-0000-0000-00009B000000}"/>
    <cellStyle name="Header2" xfId="153" xr:uid="{00000000-0005-0000-0000-00009C000000}"/>
    <cellStyle name="Heading 1" xfId="154" xr:uid="{00000000-0005-0000-0000-00009D000000}"/>
    <cellStyle name="Heading 2" xfId="155" xr:uid="{00000000-0005-0000-0000-00009E000000}"/>
    <cellStyle name="Heading 3" xfId="156" xr:uid="{00000000-0005-0000-0000-00009F000000}"/>
    <cellStyle name="Heading 4" xfId="157" xr:uid="{00000000-0005-0000-0000-0000A0000000}"/>
    <cellStyle name="heading, 1,A MAJOR/BOLD" xfId="158" xr:uid="{00000000-0005-0000-0000-0000A1000000}"/>
    <cellStyle name="HEADING1" xfId="159" xr:uid="{00000000-0005-0000-0000-0000A2000000}"/>
    <cellStyle name="HEADING2" xfId="160" xr:uid="{00000000-0005-0000-0000-0000A3000000}"/>
    <cellStyle name="Hyperlink" xfId="3" xr:uid="{00000000-0005-0000-0000-000006000000}"/>
    <cellStyle name="Hyperlink 2" xfId="319" xr:uid="{00000000-0005-0000-0000-000042010000}"/>
    <cellStyle name="Input" xfId="161" xr:uid="{00000000-0005-0000-0000-0000A4000000}"/>
    <cellStyle name="Input [yellow]" xfId="162" xr:uid="{00000000-0005-0000-0000-0000A5000000}"/>
    <cellStyle name="Input_U-2 License製品別売上データ" xfId="163" xr:uid="{00000000-0005-0000-0000-0000A6000000}"/>
    <cellStyle name="JPY" xfId="164" xr:uid="{00000000-0005-0000-0000-0000A7000000}"/>
    <cellStyle name="Jun" xfId="165" xr:uid="{00000000-0005-0000-0000-0000A8000000}"/>
    <cellStyle name="Less than 5" xfId="166" xr:uid="{00000000-0005-0000-0000-0000A9000000}"/>
    <cellStyle name="LineItemPrompt" xfId="167" xr:uid="{00000000-0005-0000-0000-0000AA000000}"/>
    <cellStyle name="LineItemValue" xfId="168" xr:uid="{00000000-0005-0000-0000-0000AB000000}"/>
    <cellStyle name="Linked Cell" xfId="169" xr:uid="{00000000-0005-0000-0000-0000AC000000}"/>
    <cellStyle name="Millares [0]_PERSONAL" xfId="170" xr:uid="{00000000-0005-0000-0000-0000AD000000}"/>
    <cellStyle name="Millares_PERSONAL" xfId="171" xr:uid="{00000000-0005-0000-0000-0000AE000000}"/>
    <cellStyle name="Milliers [0]_2508" xfId="172" xr:uid="{00000000-0005-0000-0000-0000AF000000}"/>
    <cellStyle name="Milliers_11-97" xfId="173" xr:uid="{00000000-0005-0000-0000-0000B0000000}"/>
    <cellStyle name="Model" xfId="174" xr:uid="{00000000-0005-0000-0000-0000B1000000}"/>
    <cellStyle name="Mon‚taire" xfId="175" xr:uid="{00000000-0005-0000-0000-0000B2000000}"/>
    <cellStyle name="Moneda [0]_CONTENCION CONDELL 25.051" xfId="176" xr:uid="{00000000-0005-0000-0000-0000B3000000}"/>
    <cellStyle name="Moneda_CONTENCION CONDELL 25.051" xfId="177" xr:uid="{00000000-0005-0000-0000-0000B4000000}"/>
    <cellStyle name="Monétaire [0]_2508" xfId="178" xr:uid="{00000000-0005-0000-0000-0000B5000000}"/>
    <cellStyle name="Monétaire_11-97" xfId="179" xr:uid="{00000000-0005-0000-0000-0000B6000000}"/>
    <cellStyle name="Neutral" xfId="181" xr:uid="{00000000-0005-0000-0000-0000B8000000}"/>
    <cellStyle name="new" xfId="182" xr:uid="{00000000-0005-0000-0000-0000B9000000}"/>
    <cellStyle name="no dec" xfId="183" xr:uid="{00000000-0005-0000-0000-0000BA000000}"/>
    <cellStyle name="NoComma" xfId="184" xr:uid="{00000000-0005-0000-0000-0000BB000000}"/>
    <cellStyle name="Non d‚fini" xfId="185" xr:uid="{00000000-0005-0000-0000-0000BC000000}"/>
    <cellStyle name="Normal - Style1" xfId="186" xr:uid="{00000000-0005-0000-0000-0000BD000000}"/>
    <cellStyle name="Normal 15" xfId="320" xr:uid="{00000000-0005-0000-0000-000043010000}"/>
    <cellStyle name="Normal 2" xfId="321" xr:uid="{00000000-0005-0000-0000-000044010000}"/>
    <cellStyle name="Normal 2 2" xfId="322" xr:uid="{00000000-0005-0000-0000-000045010000}"/>
    <cellStyle name="Normal 2 3" xfId="323" xr:uid="{00000000-0005-0000-0000-000046010000}"/>
    <cellStyle name="Normal 2 3 2" xfId="324" xr:uid="{00000000-0005-0000-0000-000047010000}"/>
    <cellStyle name="Normal 2 39" xfId="325" xr:uid="{00000000-0005-0000-0000-000048010000}"/>
    <cellStyle name="Normal 2 4" xfId="326" xr:uid="{00000000-0005-0000-0000-000049010000}"/>
    <cellStyle name="Normal 2 4 2" xfId="327" xr:uid="{00000000-0005-0000-0000-00004A010000}"/>
    <cellStyle name="Normal 2 5" xfId="328" xr:uid="{00000000-0005-0000-0000-00004B010000}"/>
    <cellStyle name="Normal 2_Sun SCOA Change Template" xfId="329" xr:uid="{00000000-0005-0000-0000-00004C010000}"/>
    <cellStyle name="Normal 3" xfId="330" xr:uid="{00000000-0005-0000-0000-00004D010000}"/>
    <cellStyle name="Normal 39" xfId="331" xr:uid="{00000000-0005-0000-0000-00004E010000}"/>
    <cellStyle name="Normal 39 2" xfId="332" xr:uid="{00000000-0005-0000-0000-00004F010000}"/>
    <cellStyle name="Normal 4" xfId="333" xr:uid="{00000000-0005-0000-0000-000050010000}"/>
    <cellStyle name="Normal 4 2" xfId="334" xr:uid="{00000000-0005-0000-0000-000051010000}"/>
    <cellStyle name="Normal 4 2 20" xfId="335" xr:uid="{00000000-0005-0000-0000-000052010000}"/>
    <cellStyle name="Normal 6" xfId="336" xr:uid="{00000000-0005-0000-0000-000053010000}"/>
    <cellStyle name="Normal 8 9" xfId="337" xr:uid="{00000000-0005-0000-0000-000054010000}"/>
    <cellStyle name="Normal1" xfId="187" xr:uid="{00000000-0005-0000-0000-0000BE000000}"/>
    <cellStyle name="Normal2" xfId="188" xr:uid="{00000000-0005-0000-0000-0000BF000000}"/>
    <cellStyle name="Normal3" xfId="189" xr:uid="{00000000-0005-0000-0000-0000C0000000}"/>
    <cellStyle name="Normal4" xfId="190" xr:uid="{00000000-0005-0000-0000-0000C1000000}"/>
    <cellStyle name="Normale_FS1.XLS" xfId="191" xr:uid="{00000000-0005-0000-0000-0000C2000000}"/>
    <cellStyle name="Note" xfId="192" xr:uid="{00000000-0005-0000-0000-0000C3000000}"/>
    <cellStyle name="Output" xfId="193" xr:uid="{00000000-0005-0000-0000-0000C4000000}"/>
    <cellStyle name="Output Amounts" xfId="194" xr:uid="{00000000-0005-0000-0000-0000C5000000}"/>
    <cellStyle name="Output Column Headings" xfId="195" xr:uid="{00000000-0005-0000-0000-0000C6000000}"/>
    <cellStyle name="Output Line Items" xfId="196" xr:uid="{00000000-0005-0000-0000-0000C7000000}"/>
    <cellStyle name="Output Report Heading" xfId="197" xr:uid="{00000000-0005-0000-0000-0000C8000000}"/>
    <cellStyle name="Output Report Title" xfId="198" xr:uid="{00000000-0005-0000-0000-0000C9000000}"/>
    <cellStyle name="Output_U-2 License製品別売上データ" xfId="199" xr:uid="{00000000-0005-0000-0000-0000CA000000}"/>
    <cellStyle name="OUTPUTNORMAL" xfId="200" xr:uid="{00000000-0005-0000-0000-0000CB000000}"/>
    <cellStyle name="Percent [2]" xfId="201" xr:uid="{00000000-0005-0000-0000-0000CC000000}"/>
    <cellStyle name="Percent[0]" xfId="202" xr:uid="{00000000-0005-0000-0000-0000CD000000}"/>
    <cellStyle name="Percent[2]" xfId="203" xr:uid="{00000000-0005-0000-0000-0000CE000000}"/>
    <cellStyle name="Pourcentage_D" xfId="204" xr:uid="{00000000-0005-0000-0000-0000CF000000}"/>
    <cellStyle name="price" xfId="205" xr:uid="{00000000-0005-0000-0000-0000D0000000}"/>
    <cellStyle name="PSChar" xfId="206" xr:uid="{00000000-0005-0000-0000-0000D1000000}"/>
    <cellStyle name="PSDate" xfId="207" xr:uid="{00000000-0005-0000-0000-0000D2000000}"/>
    <cellStyle name="PSDec" xfId="208" xr:uid="{00000000-0005-0000-0000-0000D3000000}"/>
    <cellStyle name="PSDetail2" xfId="209" xr:uid="{00000000-0005-0000-0000-0000D4000000}"/>
    <cellStyle name="PSHeading" xfId="210" xr:uid="{00000000-0005-0000-0000-0000D5000000}"/>
    <cellStyle name="PSInt" xfId="211" xr:uid="{00000000-0005-0000-0000-0000D6000000}"/>
    <cellStyle name="PSSpacer" xfId="212" xr:uid="{00000000-0005-0000-0000-0000D7000000}"/>
    <cellStyle name="qbh_x0003__x000c_bh_x0017_&quot;blTT０_x0008__x0003__x0008_?)(일)" xfId="213" xr:uid="{00000000-0005-0000-0000-0000D8000000}"/>
    <cellStyle name="qbh_x0003__x000c_bh_x0017_&quot;blTT０_x0008__x0003__x0008_磚)(일)" xfId="214" xr:uid="{00000000-0005-0000-0000-0000D9000000}"/>
    <cellStyle name="ReportTitlePrompt" xfId="215" xr:uid="{00000000-0005-0000-0000-0000DA000000}"/>
    <cellStyle name="ReportTitleValue" xfId="216" xr:uid="{00000000-0005-0000-0000-0000DB000000}"/>
    <cellStyle name="revised" xfId="217" xr:uid="{00000000-0005-0000-0000-0000DC000000}"/>
    <cellStyle name="RevList" xfId="218" xr:uid="{00000000-0005-0000-0000-0000DD000000}"/>
    <cellStyle name="RowAcctAbovePrompt" xfId="219" xr:uid="{00000000-0005-0000-0000-0000DE000000}"/>
    <cellStyle name="RowAcctSOBAbovePrompt" xfId="220" xr:uid="{00000000-0005-0000-0000-0000DF000000}"/>
    <cellStyle name="RowAcctSOBValue" xfId="221" xr:uid="{00000000-0005-0000-0000-0000E0000000}"/>
    <cellStyle name="RowAcctValue" xfId="222" xr:uid="{00000000-0005-0000-0000-0000E1000000}"/>
    <cellStyle name="RowAttrAbovePrompt" xfId="223" xr:uid="{00000000-0005-0000-0000-0000E2000000}"/>
    <cellStyle name="RowAttrValue" xfId="224" xr:uid="{00000000-0005-0000-0000-0000E3000000}"/>
    <cellStyle name="RowColSetAbovePrompt" xfId="225" xr:uid="{00000000-0005-0000-0000-0000E4000000}"/>
    <cellStyle name="RowColSetLeftPrompt" xfId="226" xr:uid="{00000000-0005-0000-0000-0000E5000000}"/>
    <cellStyle name="RowColSetValue" xfId="227" xr:uid="{00000000-0005-0000-0000-0000E6000000}"/>
    <cellStyle name="RowLeftPrompt" xfId="228" xr:uid="{00000000-0005-0000-0000-0000E7000000}"/>
    <cellStyle name="SampleUsingFormatMask" xfId="229" xr:uid="{00000000-0005-0000-0000-0000E8000000}"/>
    <cellStyle name="SampleWithNoFormatMask" xfId="230" xr:uid="{00000000-0005-0000-0000-0000E9000000}"/>
    <cellStyle name="section" xfId="231" xr:uid="{00000000-0005-0000-0000-0000EA000000}"/>
    <cellStyle name="SolReverse" xfId="232" xr:uid="{00000000-0005-0000-0000-0000EB000000}"/>
    <cellStyle name="Standard_ADDSHARE" xfId="233" xr:uid="{00000000-0005-0000-0000-0000EC000000}"/>
    <cellStyle name="Style1 - Style1" xfId="234" xr:uid="{00000000-0005-0000-0000-0000ED000000}"/>
    <cellStyle name="Style2 - Style2" xfId="235" xr:uid="{00000000-0005-0000-0000-0000EE000000}"/>
    <cellStyle name="Style3 - Style3" xfId="236" xr:uid="{00000000-0005-0000-0000-0000EF000000}"/>
    <cellStyle name="Style4 - Style4" xfId="237" xr:uid="{00000000-0005-0000-0000-0000F0000000}"/>
    <cellStyle name="subhead" xfId="238" xr:uid="{00000000-0005-0000-0000-0000F1000000}"/>
    <cellStyle name="Subtotal" xfId="239" xr:uid="{00000000-0005-0000-0000-0000F2000000}"/>
    <cellStyle name="T０_x0008__x0003__x0008_?)(일)" xfId="240" xr:uid="{00000000-0005-0000-0000-0000F3000000}"/>
    <cellStyle name="T０_x0008__x0003__x0008_磚)(일)" xfId="241" xr:uid="{00000000-0005-0000-0000-0000F4000000}"/>
    <cellStyle name="Time欄" xfId="242" xr:uid="{00000000-0005-0000-0000-0000F5000000}"/>
    <cellStyle name="title" xfId="243" xr:uid="{00000000-0005-0000-0000-0000F6000000}"/>
    <cellStyle name="Total" xfId="244" xr:uid="{00000000-0005-0000-0000-0000F7000000}"/>
    <cellStyle name="Unprotect" xfId="245" xr:uid="{00000000-0005-0000-0000-0000F8000000}"/>
    <cellStyle name="UploadThisRowValue" xfId="246" xr:uid="{00000000-0005-0000-0000-0000F9000000}"/>
    <cellStyle name="W?rung [0]_laroux" xfId="247" xr:uid="{00000000-0005-0000-0000-0000FA000000}"/>
    <cellStyle name="W?rung_laroux" xfId="248" xr:uid="{00000000-0005-0000-0000-0000FB000000}"/>
    <cellStyle name="Warning Text" xfId="249" xr:uid="{00000000-0005-0000-0000-0000FC000000}"/>
    <cellStyle name="スタイル 1" xfId="250" xr:uid="{00000000-0005-0000-0000-0000FD000000}"/>
    <cellStyle name="スタイル 2" xfId="251" xr:uid="{00000000-0005-0000-0000-0000FE000000}"/>
    <cellStyle name="スタイル 3" xfId="252" xr:uid="{00000000-0005-0000-0000-0000FF000000}"/>
    <cellStyle name="スタイル 4" xfId="253" xr:uid="{00000000-0005-0000-0000-000000010000}"/>
    <cellStyle name="スタイル 5" xfId="254" xr:uid="{00000000-0005-0000-0000-000001010000}"/>
    <cellStyle name="スタイル 6" xfId="255" xr:uid="{00000000-0005-0000-0000-000002010000}"/>
    <cellStyle name="スタイル 7" xfId="256" xr:uid="{00000000-0005-0000-0000-000003010000}"/>
    <cellStyle name="センター" xfId="257" xr:uid="{00000000-0005-0000-0000-000004010000}"/>
    <cellStyle name="パーセント" xfId="1" builtinId="5"/>
    <cellStyle name="パーセント 2" xfId="311" xr:uid="{00000000-0005-0000-0000-00003A010000}"/>
    <cellStyle name="고정소숫점" xfId="259" xr:uid="{00000000-0005-0000-0000-000006010000}"/>
    <cellStyle name="고정출력1" xfId="260" xr:uid="{00000000-0005-0000-0000-000007010000}"/>
    <cellStyle name="고정출력2" xfId="261" xr:uid="{00000000-0005-0000-0000-000008010000}"/>
    <cellStyle name="금액" xfId="263" xr:uid="{00000000-0005-0000-0000-00000A010000}"/>
    <cellStyle name="一般_0011" xfId="258" xr:uid="{00000000-0005-0000-0000-000005010000}"/>
    <cellStyle name="날짜" xfId="265" xr:uid="{00000000-0005-0000-0000-00000C010000}"/>
    <cellStyle name="내양식" xfId="266" xr:uid="{00000000-0005-0000-0000-00000D010000}"/>
    <cellStyle name="내표준" xfId="267" xr:uid="{00000000-0005-0000-0000-00000E010000}"/>
    <cellStyle name="外 貨  借 入" xfId="262" xr:uid="{00000000-0005-0000-0000-000009010000}"/>
    <cellStyle name="桁区切り" xfId="2" builtinId="6"/>
    <cellStyle name="桁区切り [0.000]" xfId="264" xr:uid="{00000000-0005-0000-0000-00000B010000}"/>
    <cellStyle name="桁区切り 2" xfId="310" xr:uid="{00000000-0005-0000-0000-000039010000}"/>
    <cellStyle name="桁区切り 3" xfId="313" xr:uid="{00000000-0005-0000-0000-00003C010000}"/>
    <cellStyle name="桁区切り 4" xfId="315" xr:uid="{00000000-0005-0000-0000-00003E010000}"/>
    <cellStyle name="桁区切り 5" xfId="339" xr:uid="{00000000-0005-0000-0000-000056010000}"/>
    <cellStyle name="달러" xfId="269" xr:uid="{00000000-0005-0000-0000-000010010000}"/>
    <cellStyle name="뒤에 오는 하이퍼링크_09고정자산명세서" xfId="271" xr:uid="{00000000-0005-0000-0000-000012010000}"/>
    <cellStyle name="똿떓죶Ø괻 [0.00]_PRODUCT DETAIL Q1" xfId="272" xr:uid="{00000000-0005-0000-0000-000013010000}"/>
    <cellStyle name="똿떓죶Ø괻_PRODUCT DETAIL Q1" xfId="273" xr:uid="{00000000-0005-0000-0000-000014010000}"/>
    <cellStyle name="똿뗦먛귟 [0.00]_PRODUCT DETAIL Q1" xfId="274" xr:uid="{00000000-0005-0000-0000-000015010000}"/>
    <cellStyle name="똿뗦먛귟_PRODUCT DETAIL Q1" xfId="275" xr:uid="{00000000-0005-0000-0000-000016010000}"/>
    <cellStyle name="千分位_Sheet1" xfId="268" xr:uid="{00000000-0005-0000-0000-00000F010000}"/>
    <cellStyle name="通貨 2" xfId="270" xr:uid="{00000000-0005-0000-0000-000011010000}"/>
    <cellStyle name="標準" xfId="0" builtinId="0"/>
    <cellStyle name="標準 2" xfId="309" xr:uid="{00000000-0005-0000-0000-000038010000}"/>
    <cellStyle name="標準 3" xfId="312" xr:uid="{00000000-0005-0000-0000-00003B010000}"/>
    <cellStyle name="標準 4" xfId="314" xr:uid="{00000000-0005-0000-0000-00003D010000}"/>
    <cellStyle name="標準 5" xfId="316" xr:uid="{00000000-0005-0000-0000-00003F010000}"/>
    <cellStyle name="標準 6" xfId="338" xr:uid="{00000000-0005-0000-0000-000055010000}"/>
    <cellStyle name="未定義" xfId="276" xr:uid="{00000000-0005-0000-0000-000017010000}"/>
    <cellStyle name="묮뎋 [0.00]_PRODUCT DETAIL Q1" xfId="288" xr:uid="{00000000-0005-0000-0000-000023010000}"/>
    <cellStyle name="묮뎋_PRODUCT DETAIL Q1" xfId="289" xr:uid="{00000000-0005-0000-0000-000024010000}"/>
    <cellStyle name="믅됞 [0.00]_PRODUCT DETAIL Q1" xfId="290" xr:uid="{00000000-0005-0000-0000-000025010000}"/>
    <cellStyle name="믅됞_PRODUCT DETAIL Q1" xfId="291" xr:uid="{00000000-0005-0000-0000-000026010000}"/>
    <cellStyle name="咬訌裝?INCOM1" xfId="277" xr:uid="{00000000-0005-0000-0000-000018010000}"/>
    <cellStyle name="咬訌裝?INCOM10" xfId="278" xr:uid="{00000000-0005-0000-0000-000019010000}"/>
    <cellStyle name="咬訌裝?INCOM2" xfId="279" xr:uid="{00000000-0005-0000-0000-00001A010000}"/>
    <cellStyle name="咬訌裝?INCOM3" xfId="280" xr:uid="{00000000-0005-0000-0000-00001B010000}"/>
    <cellStyle name="咬訌裝?INCOM4" xfId="281" xr:uid="{00000000-0005-0000-0000-00001C010000}"/>
    <cellStyle name="咬訌裝?INCOM5" xfId="282" xr:uid="{00000000-0005-0000-0000-00001D010000}"/>
    <cellStyle name="咬訌裝?INCOM6" xfId="283" xr:uid="{00000000-0005-0000-0000-00001E010000}"/>
    <cellStyle name="咬訌裝?INCOM7" xfId="284" xr:uid="{00000000-0005-0000-0000-00001F010000}"/>
    <cellStyle name="咬訌裝?INCOM8" xfId="285" xr:uid="{00000000-0005-0000-0000-000020010000}"/>
    <cellStyle name="咬訌裝?INCOM9" xfId="286" xr:uid="{00000000-0005-0000-0000-000021010000}"/>
    <cellStyle name="咬訌裝?PRIB11" xfId="287" xr:uid="{00000000-0005-0000-0000-000022010000}"/>
    <cellStyle name="뷭?_BOOKSHIP" xfId="292" xr:uid="{00000000-0005-0000-0000-000027010000}"/>
    <cellStyle name="숫자(R)" xfId="293" xr:uid="{00000000-0005-0000-0000-000028010000}"/>
    <cellStyle name="안건회계법인" xfId="294" xr:uid="{00000000-0005-0000-0000-000029010000}"/>
    <cellStyle name="자리수" xfId="295" xr:uid="{00000000-0005-0000-0000-00002A010000}"/>
    <cellStyle name="자리수0" xfId="296" xr:uid="{00000000-0005-0000-0000-00002B010000}"/>
    <cellStyle name="지정되지 않음" xfId="298" xr:uid="{00000000-0005-0000-0000-00002D010000}"/>
    <cellStyle name="콤마 [0]_  종  합  " xfId="299" xr:uid="{00000000-0005-0000-0000-00002E010000}"/>
    <cellStyle name="콤마_  종  합  " xfId="300" xr:uid="{00000000-0005-0000-0000-00002F010000}"/>
    <cellStyle name="팒" xfId="301" xr:uid="{00000000-0005-0000-0000-000030010000}"/>
    <cellStyle name="퍼센트" xfId="302" xr:uid="{00000000-0005-0000-0000-000031010000}"/>
    <cellStyle name="표준_A-9" xfId="303" xr:uid="{00000000-0005-0000-0000-000032010000}"/>
    <cellStyle name="표준-이효주" xfId="304" xr:uid="{00000000-0005-0000-0000-000033010000}"/>
    <cellStyle name="표준체" xfId="305" xr:uid="{00000000-0005-0000-0000-000034010000}"/>
    <cellStyle name="합산" xfId="306" xr:uid="{00000000-0005-0000-0000-000035010000}"/>
    <cellStyle name="화폐기호" xfId="307" xr:uid="{00000000-0005-0000-0000-000036010000}"/>
    <cellStyle name="화폐기호0" xfId="308" xr:uid="{00000000-0005-0000-0000-00003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5.7750000000000003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5E-3"/>
                  <c:y val="-0.3232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58-4E67-B400-638148842861}"/>
                </c:ext>
              </c:extLst>
            </c:dLbl>
            <c:dLbl>
              <c:idx val="1"/>
              <c:layout>
                <c:manualLayout>
                  <c:x val="4.7499999999999999E-3"/>
                  <c:y val="-0.3210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58-4E67-B400-638148842861}"/>
                </c:ext>
              </c:extLst>
            </c:dLbl>
            <c:dLbl>
              <c:idx val="2"/>
              <c:layout>
                <c:manualLayout>
                  <c:x val="1.6500000000000001E-2"/>
                  <c:y val="-0.340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58-4E67-B400-638148842861}"/>
                </c:ext>
              </c:extLst>
            </c:dLbl>
            <c:dLbl>
              <c:idx val="3"/>
              <c:layout>
                <c:manualLayout>
                  <c:x val="1.2999999999999999E-2"/>
                  <c:y val="-0.3357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58-4E67-B400-638148842861}"/>
                </c:ext>
              </c:extLst>
            </c:dLbl>
            <c:dLbl>
              <c:idx val="4"/>
              <c:layout>
                <c:manualLayout>
                  <c:x val="1.7000000000000001E-2"/>
                  <c:y val="-0.36275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58-4E67-B400-638148842861}"/>
                </c:ext>
              </c:extLst>
            </c:dLbl>
            <c:dLbl>
              <c:idx val="5"/>
              <c:layout>
                <c:manualLayout>
                  <c:x val="1.6750000000000001E-2"/>
                  <c:y val="-0.33074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58-4E67-B400-638148842861}"/>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45778</c:v>
                </c:pt>
                <c:pt idx="1">
                  <c:v>45413</c:v>
                </c:pt>
                <c:pt idx="2">
                  <c:v>45047</c:v>
                </c:pt>
                <c:pt idx="3">
                  <c:v>44682</c:v>
                </c:pt>
                <c:pt idx="4">
                  <c:v>44317</c:v>
                </c:pt>
              </c:numCache>
            </c:numRef>
          </c:cat>
          <c:val>
            <c:numRef>
              <c:f>'3.Summary'!$M$5:$Q$5</c:f>
              <c:numCache>
                <c:formatCode>#,##0_);[Red]\(#,##0\)</c:formatCode>
                <c:ptCount val="5"/>
                <c:pt idx="0">
                  <c:v>263510</c:v>
                </c:pt>
                <c:pt idx="1">
                  <c:v>244542</c:v>
                </c:pt>
                <c:pt idx="2">
                  <c:v>226914</c:v>
                </c:pt>
                <c:pt idx="3">
                  <c:v>214691</c:v>
                </c:pt>
                <c:pt idx="4">
                  <c:v>208523</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347166954"/>
        <c:axId val="407377369"/>
        <c:axId val="0"/>
      </c:bar3DChart>
      <c:dateAx>
        <c:axId val="1347166954"/>
        <c:scaling>
          <c:orientation val="minMax"/>
          <c:max val="45778"/>
          <c:min val="4431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407377369"/>
        <c:crosses val="autoZero"/>
        <c:auto val="1"/>
        <c:lblOffset val="100"/>
        <c:baseTimeUnit val="years"/>
      </c:dateAx>
      <c:valAx>
        <c:axId val="407377369"/>
        <c:scaling>
          <c:orientation val="minMax"/>
          <c:max val="30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347166954"/>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225E-2"/>
                  <c:y val="-0.2889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7F-4375-99DC-0CCAF41E0C15}"/>
                </c:ext>
              </c:extLst>
            </c:dLbl>
            <c:dLbl>
              <c:idx val="1"/>
              <c:layout>
                <c:manualLayout>
                  <c:x val="1.0500000000000001E-2"/>
                  <c:y val="-0.302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7F-4375-99DC-0CCAF41E0C15}"/>
                </c:ext>
              </c:extLst>
            </c:dLbl>
            <c:dLbl>
              <c:idx val="2"/>
              <c:layout>
                <c:manualLayout>
                  <c:x val="1.4749999999999999E-2"/>
                  <c:y val="-0.3255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7F-4375-99DC-0CCAF41E0C15}"/>
                </c:ext>
              </c:extLst>
            </c:dLbl>
            <c:dLbl>
              <c:idx val="3"/>
              <c:layout>
                <c:manualLayout>
                  <c:x val="5.2500000000000003E-3"/>
                  <c:y val="-0.3222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7F-4375-99DC-0CCAF41E0C15}"/>
                </c:ext>
              </c:extLst>
            </c:dLbl>
            <c:dLbl>
              <c:idx val="4"/>
              <c:layout>
                <c:manualLayout>
                  <c:x val="1.0500000000000001E-2"/>
                  <c:y val="-0.3417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7F-4375-99DC-0CCAF41E0C15}"/>
                </c:ext>
              </c:extLst>
            </c:dLbl>
            <c:dLbl>
              <c:idx val="5"/>
              <c:layout>
                <c:manualLayout>
                  <c:x val="2.0750000000000001E-2"/>
                  <c:y val="-0.2610000000000000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7F-4375-99DC-0CCAF41E0C15}"/>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45778</c:v>
                </c:pt>
                <c:pt idx="1">
                  <c:v>45413</c:v>
                </c:pt>
                <c:pt idx="2">
                  <c:v>45047</c:v>
                </c:pt>
                <c:pt idx="3">
                  <c:v>44682</c:v>
                </c:pt>
                <c:pt idx="4">
                  <c:v>44317</c:v>
                </c:pt>
              </c:numCache>
            </c:numRef>
          </c:cat>
          <c:val>
            <c:numRef>
              <c:f>'3.Summary'!$M$12:$Q$12</c:f>
              <c:numCache>
                <c:formatCode>#,##0_);[Red]\(#,##0\)</c:formatCode>
                <c:ptCount val="5"/>
                <c:pt idx="0">
                  <c:v>60725</c:v>
                </c:pt>
                <c:pt idx="1">
                  <c:v>55603</c:v>
                </c:pt>
                <c:pt idx="2">
                  <c:v>52009</c:v>
                </c:pt>
                <c:pt idx="3">
                  <c:v>51182</c:v>
                </c:pt>
                <c:pt idx="4">
                  <c:v>49175</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84652197"/>
        <c:axId val="1795336566"/>
        <c:axId val="0"/>
      </c:bar3DChart>
      <c:dateAx>
        <c:axId val="84652197"/>
        <c:scaling>
          <c:orientation val="minMax"/>
          <c:max val="45778"/>
          <c:min val="4431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795336566"/>
        <c:crosses val="autoZero"/>
        <c:auto val="1"/>
        <c:lblOffset val="100"/>
        <c:baseTimeUnit val="years"/>
        <c:majorUnit val="1"/>
        <c:majorTimeUnit val="years"/>
        <c:minorUnit val="1"/>
        <c:minorTimeUnit val="years"/>
      </c:dateAx>
      <c:valAx>
        <c:axId val="1795336566"/>
        <c:scaling>
          <c:orientation val="minMax"/>
          <c:max val="7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84652197"/>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97945</xdr:rowOff>
    </xdr:to>
    <xdr:sp macro="" textlink="">
      <xdr:nvSpPr>
        <xdr:cNvPr id="79885" name="Text Box 13">
          <a:extLst>
            <a:ext uri="{FF2B5EF4-FFF2-40B4-BE49-F238E27FC236}">
              <a16:creationId xmlns:a16="http://schemas.microsoft.com/office/drawing/2014/main" id="{B4C614E6-5BEE-4CD4-985D-CB2C20516284}"/>
            </a:ext>
          </a:extLst>
        </xdr:cNvPr>
        <xdr:cNvSpPr txBox="1">
          <a:spLocks noChangeArrowheads="1"/>
        </xdr:cNvSpPr>
      </xdr:nvSpPr>
      <xdr:spPr bwMode="auto">
        <a:xfrm>
          <a:off x="285750" y="5486400"/>
          <a:ext cx="10858500" cy="85725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DBB24207-69F0-4517-AF2D-592432F7469C}"/>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54342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28016</xdr:rowOff>
    </xdr:to>
    <xdr:sp macro="" textlink="">
      <xdr:nvSpPr>
        <xdr:cNvPr id="80056" name="Text Box 15">
          <a:extLst>
            <a:ext uri="{FF2B5EF4-FFF2-40B4-BE49-F238E27FC236}">
              <a16:creationId xmlns:a16="http://schemas.microsoft.com/office/drawing/2014/main" id="{E8C9BBD9-C1C4-43BF-BB55-D68AE39C543A}"/>
            </a:ext>
          </a:extLst>
        </xdr:cNvPr>
        <xdr:cNvSpPr txBox="1">
          <a:spLocks noChangeArrowheads="1"/>
        </xdr:cNvSpPr>
      </xdr:nvSpPr>
      <xdr:spPr bwMode="auto">
        <a:xfrm>
          <a:off x="285750" y="6572250"/>
          <a:ext cx="10858500" cy="1247775"/>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3</xdr:row>
      <xdr:rowOff>243366</xdr:rowOff>
    </xdr:to>
    <xdr:pic>
      <xdr:nvPicPr>
        <xdr:cNvPr id="17" name="図 16" descr="Oracle sees the future">
          <a:extLst>
            <a:ext uri="{FF2B5EF4-FFF2-40B4-BE49-F238E27FC236}">
              <a16:creationId xmlns:a16="http://schemas.microsoft.com/office/drawing/2014/main" id="{513D8EF8-8F33-4FA5-830B-A5EC6065F256}"/>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61950"/>
          <a:ext cx="50958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60E5BDCE-A8B7-4AA0-8421-A02CB6302B05}"/>
            </a:ext>
          </a:extLst>
        </xdr:cNvPr>
        <xdr:cNvSpPr/>
      </xdr:nvSpPr>
      <xdr:spPr bwMode="auto">
        <a:xfrm>
          <a:off x="2186940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31</xdr:row>
      <xdr:rowOff>237122</xdr:rowOff>
    </xdr:to>
    <xdr:sp macro="" textlink="">
      <xdr:nvSpPr>
        <xdr:cNvPr id="8227" name="Text Box 3">
          <a:extLst>
            <a:ext uri="{FF2B5EF4-FFF2-40B4-BE49-F238E27FC236}">
              <a16:creationId xmlns:a16="http://schemas.microsoft.com/office/drawing/2014/main" id="{16DCD8C4-5771-4399-A7EF-846079699400}"/>
            </a:ext>
          </a:extLst>
        </xdr:cNvPr>
        <xdr:cNvSpPr txBox="1">
          <a:spLocks noChangeArrowheads="1"/>
        </xdr:cNvSpPr>
      </xdr:nvSpPr>
      <xdr:spPr bwMode="auto">
        <a:xfrm>
          <a:off x="323850" y="7153275"/>
          <a:ext cx="14954250" cy="1162050"/>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48627</xdr:rowOff>
    </xdr:to>
    <xdr:sp macro="" textlink="">
      <xdr:nvSpPr>
        <xdr:cNvPr id="8228" name="Text Box 4">
          <a:extLst>
            <a:ext uri="{FF2B5EF4-FFF2-40B4-BE49-F238E27FC236}">
              <a16:creationId xmlns:a16="http://schemas.microsoft.com/office/drawing/2014/main" id="{1BCE7536-C692-4E38-B826-ABEC40D15E3A}"/>
            </a:ext>
          </a:extLst>
        </xdr:cNvPr>
        <xdr:cNvSpPr txBox="1">
          <a:spLocks noChangeArrowheads="1"/>
        </xdr:cNvSpPr>
      </xdr:nvSpPr>
      <xdr:spPr bwMode="auto">
        <a:xfrm>
          <a:off x="323850" y="8458200"/>
          <a:ext cx="14944725" cy="147637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199977</xdr:colOff>
      <xdr:row>4</xdr:row>
      <xdr:rowOff>10568</xdr:rowOff>
    </xdr:from>
    <xdr:to>
      <xdr:col>11</xdr:col>
      <xdr:colOff>438102</xdr:colOff>
      <xdr:row>13</xdr:row>
      <xdr:rowOff>228363</xdr:rowOff>
    </xdr:to>
    <xdr:graphicFrame macro="">
      <xdr:nvGraphicFramePr>
        <xdr:cNvPr id="8454" name="Chart 98">
          <a:extLst>
            <a:ext uri="{FF2B5EF4-FFF2-40B4-BE49-F238E27FC236}">
              <a16:creationId xmlns:a16="http://schemas.microsoft.com/office/drawing/2014/main" id="{D9EB50DF-BDDF-49F9-B42B-94774E3C9C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D45420D1-E319-4E91-86A2-7C36EE07FD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12</xdr:row>
      <xdr:rowOff>0</xdr:rowOff>
    </xdr:to>
    <xdr:sp macro="" textlink="" fLocksText="0">
      <xdr:nvSpPr>
        <xdr:cNvPr id="2" name="強調線吹き出し 1 (枠付き) 1">
          <a:extLst>
            <a:ext uri="{FF2B5EF4-FFF2-40B4-BE49-F238E27FC236}">
              <a16:creationId xmlns:a16="http://schemas.microsoft.com/office/drawing/2014/main" id="{07BD602D-9B19-4E6E-92AA-8DD69E7A5F7B}"/>
            </a:ext>
          </a:extLst>
        </xdr:cNvPr>
        <xdr:cNvSpPr/>
      </xdr:nvSpPr>
      <xdr:spPr bwMode="auto">
        <a:xfrm>
          <a:off x="21650325" y="1314450"/>
          <a:ext cx="0" cy="26670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196850</xdr:colOff>
      <xdr:row>4</xdr:row>
      <xdr:rowOff>228600</xdr:rowOff>
    </xdr:to>
    <xdr:sp macro="" textlink="">
      <xdr:nvSpPr>
        <xdr:cNvPr id="139457" name="Text Box 3">
          <a:extLst>
            <a:ext uri="{FF2B5EF4-FFF2-40B4-BE49-F238E27FC236}">
              <a16:creationId xmlns:a16="http://schemas.microsoft.com/office/drawing/2014/main" id="{FF6C3AA1-C7A1-4DF0-85A7-1A285A0CB471}"/>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196850</xdr:colOff>
      <xdr:row>4</xdr:row>
      <xdr:rowOff>228600</xdr:rowOff>
    </xdr:to>
    <xdr:sp macro="" textlink="">
      <xdr:nvSpPr>
        <xdr:cNvPr id="139458" name="Text Box 4">
          <a:extLst>
            <a:ext uri="{FF2B5EF4-FFF2-40B4-BE49-F238E27FC236}">
              <a16:creationId xmlns:a16="http://schemas.microsoft.com/office/drawing/2014/main" id="{0777E260-5E53-45FA-9597-F2D20A3310BE}"/>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59" name="Text Box 5">
          <a:extLst>
            <a:ext uri="{FF2B5EF4-FFF2-40B4-BE49-F238E27FC236}">
              <a16:creationId xmlns:a16="http://schemas.microsoft.com/office/drawing/2014/main" id="{58054EE7-A94F-47A9-81E1-C9A6F897D65E}"/>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0" name="Text Box 6">
          <a:extLst>
            <a:ext uri="{FF2B5EF4-FFF2-40B4-BE49-F238E27FC236}">
              <a16:creationId xmlns:a16="http://schemas.microsoft.com/office/drawing/2014/main" id="{F2857B32-BFCC-4765-8845-2B5723BBE78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1" name="Text Box 7">
          <a:extLst>
            <a:ext uri="{FF2B5EF4-FFF2-40B4-BE49-F238E27FC236}">
              <a16:creationId xmlns:a16="http://schemas.microsoft.com/office/drawing/2014/main" id="{6D764D11-171E-49B0-8228-EA4EC5BF97B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2" name="Text Box 8">
          <a:extLst>
            <a:ext uri="{FF2B5EF4-FFF2-40B4-BE49-F238E27FC236}">
              <a16:creationId xmlns:a16="http://schemas.microsoft.com/office/drawing/2014/main" id="{2DE6B1C6-7DC8-4143-8D35-44332C57057F}"/>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3" name="Text Box 9">
          <a:extLst>
            <a:ext uri="{FF2B5EF4-FFF2-40B4-BE49-F238E27FC236}">
              <a16:creationId xmlns:a16="http://schemas.microsoft.com/office/drawing/2014/main" id="{F0E538AB-9EA2-4318-937D-94E2AEEB9C99}"/>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4" name="Text Box 10">
          <a:extLst>
            <a:ext uri="{FF2B5EF4-FFF2-40B4-BE49-F238E27FC236}">
              <a16:creationId xmlns:a16="http://schemas.microsoft.com/office/drawing/2014/main" id="{326D7088-E059-454E-8C1E-AFD60E3FA517}"/>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5" name="Text Box 11">
          <a:extLst>
            <a:ext uri="{FF2B5EF4-FFF2-40B4-BE49-F238E27FC236}">
              <a16:creationId xmlns:a16="http://schemas.microsoft.com/office/drawing/2014/main" id="{2FE6FD8C-EEF9-430A-9DAF-301DB833277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6" name="Text Box 12">
          <a:extLst>
            <a:ext uri="{FF2B5EF4-FFF2-40B4-BE49-F238E27FC236}">
              <a16:creationId xmlns:a16="http://schemas.microsoft.com/office/drawing/2014/main" id="{A6D4A467-4CF9-4971-83DF-13AF0946676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181811</xdr:rowOff>
    </xdr:to>
    <xdr:grpSp>
      <xdr:nvGrpSpPr>
        <xdr:cNvPr id="13" name="グループ化 2">
          <a:extLst>
            <a:ext uri="{FF2B5EF4-FFF2-40B4-BE49-F238E27FC236}">
              <a16:creationId xmlns:a16="http://schemas.microsoft.com/office/drawing/2014/main" id="{55771A6D-6F5E-4D4C-BBB9-F92863299E09}"/>
            </a:ext>
          </a:extLst>
        </xdr:cNvPr>
        <xdr:cNvGrpSpPr>
          <a:grpSpLocks/>
        </xdr:cNvGrpSpPr>
      </xdr:nvGrpSpPr>
      <xdr:grpSpPr>
        <a:xfrm>
          <a:off x="666750" y="882369"/>
          <a:ext cx="7904480" cy="4315942"/>
          <a:chOff x="561801" y="438343"/>
          <a:chExt cx="7525573" cy="4146755"/>
        </a:xfrm>
      </xdr:grpSpPr>
      <xdr:grpSp>
        <xdr:nvGrpSpPr>
          <xdr:cNvPr id="14" name="グループ化 27">
            <a:extLst>
              <a:ext uri="{FF2B5EF4-FFF2-40B4-BE49-F238E27FC236}">
                <a16:creationId xmlns:a16="http://schemas.microsoft.com/office/drawing/2014/main" id="{76A29A81-DD56-48E8-AEBC-B4E5193B1DB3}"/>
              </a:ext>
            </a:extLst>
          </xdr:cNvPr>
          <xdr:cNvGrpSpPr>
            <a:grpSpLocks/>
          </xdr:cNvGrpSpPr>
        </xdr:nvGrpSpPr>
        <xdr:grpSpPr>
          <a:xfrm>
            <a:off x="561801" y="438343"/>
            <a:ext cx="7525573" cy="4146755"/>
            <a:chOff x="512641" y="438343"/>
            <a:chExt cx="7525573" cy="4146755"/>
          </a:xfrm>
        </xdr:grpSpPr>
        <xdr:sp macro="" textlink="" fLocksText="0">
          <xdr:nvSpPr>
            <xdr:cNvPr id="17" name="正方形/長方形 4">
              <a:extLst>
                <a:ext uri="{FF2B5EF4-FFF2-40B4-BE49-F238E27FC236}">
                  <a16:creationId xmlns:a16="http://schemas.microsoft.com/office/drawing/2014/main" id="{140363DE-5FD0-4CE5-ADAC-90928B256E31}"/>
                </a:ext>
              </a:extLst>
            </xdr:cNvPr>
            <xdr:cNvSpPr/>
          </xdr:nvSpPr>
          <xdr:spPr bwMode="auto">
            <a:xfrm>
              <a:off x="1552527" y="1891843"/>
              <a:ext cx="768972" cy="2101120"/>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EE02A23D-44D4-447A-93A5-873D33AE60F4}"/>
                </a:ext>
              </a:extLst>
            </xdr:cNvPr>
            <xdr:cNvSpPr/>
          </xdr:nvSpPr>
          <xdr:spPr bwMode="auto">
            <a:xfrm>
              <a:off x="6438204" y="1606143"/>
              <a:ext cx="796641" cy="2375837"/>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D52767B6-ACA7-4E35-BFC8-FAC31C025A03}"/>
                </a:ext>
              </a:extLst>
            </xdr:cNvPr>
            <xdr:cNvSpPr txBox="1"/>
          </xdr:nvSpPr>
          <xdr:spPr>
            <a:xfrm>
              <a:off x="1114850" y="4008562"/>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FY25Q2
6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81F3584-C0D5-4CF1-A466-AD6929FFA0EA}"/>
                </a:ext>
              </a:extLst>
            </xdr:cNvPr>
            <xdr:cNvSpPr txBox="1"/>
          </xdr:nvSpPr>
          <xdr:spPr>
            <a:xfrm>
              <a:off x="5960043" y="4015819"/>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FY26Q2</a:t>
              </a:r>
            </a:p>
            <a:p>
              <a:pPr>
                <a:lnSpc>
                  <a:spcPct val="70000"/>
                </a:lnSpc>
                <a:spcBef>
                  <a:spcPct val="0"/>
                </a:spcBef>
              </a:pPr>
              <a:r>
                <a:rPr lang="en-US" altLang="ja-JP" b="1">
                  <a:latin typeface="Meiryo UI" pitchFamily="50" charset="-128"/>
                  <a:ea typeface="Meiryo UI" pitchFamily="50" charset="-128"/>
                  <a:cs typeface="Meiryo UI" pitchFamily="50" charset="-128"/>
                </a:rPr>
                <a:t>6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8BC7505B-1A2E-4313-ADC1-350A0A20CF7A}"/>
                </a:ext>
              </a:extLst>
            </xdr:cNvPr>
            <xdr:cNvSpPr txBox="1"/>
          </xdr:nvSpPr>
          <xdr:spPr>
            <a:xfrm>
              <a:off x="1301254" y="1462979"/>
              <a:ext cx="1251487" cy="49592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125,295</a:t>
              </a:r>
            </a:p>
          </xdr:txBody>
        </xdr:sp>
        <xdr:sp macro="" textlink="" fLocksText="0">
          <xdr:nvSpPr>
            <xdr:cNvPr id="23" name="正方形/長方形 10">
              <a:extLst>
                <a:ext uri="{FF2B5EF4-FFF2-40B4-BE49-F238E27FC236}">
                  <a16:creationId xmlns:a16="http://schemas.microsoft.com/office/drawing/2014/main" id="{BF7CE9BA-71F6-4AC6-BC39-9BE0AF2F4DAD}"/>
                </a:ext>
              </a:extLst>
            </xdr:cNvPr>
            <xdr:cNvSpPr/>
          </xdr:nvSpPr>
          <xdr:spPr bwMode="auto">
            <a:xfrm>
              <a:off x="2712386" y="1653288"/>
              <a:ext cx="930018" cy="21706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27A46EDB-3B13-4919-BFBD-14C0562A6409}"/>
                </a:ext>
              </a:extLst>
            </xdr:cNvPr>
            <xdr:cNvSpPr/>
          </xdr:nvSpPr>
          <xdr:spPr bwMode="auto">
            <a:xfrm flipV="1">
              <a:off x="3969531" y="1645294"/>
              <a:ext cx="929522" cy="6919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EE5DC034-85CD-4173-89F4-F70B1C7FFDAA}"/>
                </a:ext>
              </a:extLst>
            </xdr:cNvPr>
            <xdr:cNvSpPr txBox="1"/>
          </xdr:nvSpPr>
          <xdr:spPr>
            <a:xfrm>
              <a:off x="5109738" y="1172654"/>
              <a:ext cx="1062786"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+497</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(+4.1%)</a:t>
              </a:r>
            </a:p>
          </xdr:txBody>
        </xdr:sp>
        <xdr:sp macro="" textlink="">
          <xdr:nvSpPr>
            <xdr:cNvPr id="26" name="テキスト ボックス 17">
              <a:extLst>
                <a:ext uri="{FF2B5EF4-FFF2-40B4-BE49-F238E27FC236}">
                  <a16:creationId xmlns:a16="http://schemas.microsoft.com/office/drawing/2014/main" id="{5CCA9C2C-E4A2-4705-A856-2C92715796B8}"/>
                </a:ext>
              </a:extLst>
            </xdr:cNvPr>
            <xdr:cNvSpPr txBox="1"/>
          </xdr:nvSpPr>
          <xdr:spPr>
            <a:xfrm>
              <a:off x="2646370" y="1227819"/>
              <a:ext cx="1091614"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+9,197</a:t>
              </a:r>
            </a:p>
            <a:p>
              <a:pPr>
                <a:lnSpc>
                  <a:spcPct val="60000"/>
                </a:lnSpc>
                <a:spcBef>
                  <a:spcPct val="0"/>
                </a:spcBef>
              </a:pPr>
              <a:r>
                <a:rPr lang="en-US" altLang="ja-JP" sz="1400" b="0">
                  <a:latin typeface="Meiryo UI" pitchFamily="50" charset="-128"/>
                  <a:ea typeface="Meiryo UI" pitchFamily="50" charset="-128"/>
                  <a:cs typeface="Meiryo UI" pitchFamily="50" charset="-128"/>
                </a:rPr>
                <a:t>(+8.6%)</a:t>
              </a:r>
            </a:p>
          </xdr:txBody>
        </xdr:sp>
        <xdr:sp macro="" textlink="" fLocksText="0">
          <xdr:nvSpPr>
            <xdr:cNvPr id="27" name="フローチャート : せん孔テープ 22">
              <a:extLst>
                <a:ext uri="{FF2B5EF4-FFF2-40B4-BE49-F238E27FC236}">
                  <a16:creationId xmlns:a16="http://schemas.microsoft.com/office/drawing/2014/main" id="{0486BF94-E8AA-4664-968B-7B519FCF6015}"/>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551853C2-2CF2-478B-83E1-8B926FDBAC04}"/>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2FF5496D-E84D-4046-BAE5-67B729C22173}"/>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+9,382</a:t>
              </a:r>
              <a:r>
                <a:rPr lang="ja-JP" altLang="en-US" baseline="0">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(+7.5%)</a:t>
              </a:r>
            </a:p>
          </xdr:txBody>
        </xdr:sp>
        <xdr:sp macro="" textlink="">
          <xdr:nvSpPr>
            <xdr:cNvPr id="30" name="テキスト ボックス 25">
              <a:extLst>
                <a:ext uri="{FF2B5EF4-FFF2-40B4-BE49-F238E27FC236}">
                  <a16:creationId xmlns:a16="http://schemas.microsoft.com/office/drawing/2014/main" id="{0A616DC9-A6A7-4352-82A0-5734D4E755DE}"/>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F82CA224-F30A-4901-8607-F667E88119A1}"/>
                </a:ext>
              </a:extLst>
            </xdr:cNvPr>
            <xdr:cNvSpPr txBox="1"/>
          </xdr:nvSpPr>
          <xdr:spPr>
            <a:xfrm>
              <a:off x="3895685" y="1214825"/>
              <a:ext cx="1054686"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b="0">
                  <a:solidFill>
                    <a:schemeClr val="tx1"/>
                  </a:solidFill>
                  <a:latin typeface="Meiryo UI" pitchFamily="50" charset="-128"/>
                  <a:ea typeface="Meiryo UI" pitchFamily="50" charset="-128"/>
                  <a:cs typeface="Meiryo UI" pitchFamily="50" charset="-128"/>
                </a:rPr>
                <a:t>-312</a:t>
              </a:r>
            </a:p>
            <a:p>
              <a:pPr algn="ctr">
                <a:lnSpc>
                  <a:spcPct val="60000"/>
                </a:lnSpc>
                <a:spcBef>
                  <a:spcPct val="0"/>
                </a:spcBef>
              </a:pPr>
              <a:r>
                <a:rPr lang="en-US" altLang="ja-JP" sz="1400" b="0">
                  <a:solidFill>
                    <a:schemeClr val="tx1"/>
                  </a:solidFill>
                  <a:latin typeface="Meiryo UI" pitchFamily="50" charset="-128"/>
                  <a:ea typeface="Meiryo UI" pitchFamily="50" charset="-128"/>
                  <a:cs typeface="Meiryo UI" pitchFamily="50" charset="-128"/>
                </a:rPr>
                <a:t>(-4.6%)</a:t>
              </a:r>
            </a:p>
          </xdr:txBody>
        </xdr:sp>
        <xdr:sp macro="" textlink="">
          <xdr:nvSpPr>
            <xdr:cNvPr id="32" name="テキスト ボックス 49">
              <a:extLst>
                <a:ext uri="{FF2B5EF4-FFF2-40B4-BE49-F238E27FC236}">
                  <a16:creationId xmlns:a16="http://schemas.microsoft.com/office/drawing/2014/main" id="{CE86BD09-1C22-4A3C-9360-6F50CC0AFBE3}"/>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クラウド・アンド・</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ソフトウェア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a:t>
              </a:r>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and software</a:t>
              </a:r>
              <a:endParaRPr lang="en-US" altLang="ja-JP" sz="1100">
                <a:latin typeface="Meiryo UI" pitchFamily="50" charset="-128"/>
                <a:ea typeface="Meiryo UI" pitchFamily="50" charset="-128"/>
                <a:cs typeface="Meiryo UI" pitchFamily="50" charset="-128"/>
              </a:endParaRPr>
            </a:p>
          </xdr:txBody>
        </xdr:sp>
        <xdr:sp macro="" textlink="">
          <xdr:nvSpPr>
            <xdr:cNvPr id="33" name="テキスト ボックス 51">
              <a:extLst>
                <a:ext uri="{FF2B5EF4-FFF2-40B4-BE49-F238E27FC236}">
                  <a16:creationId xmlns:a16="http://schemas.microsoft.com/office/drawing/2014/main" id="{984DE4DD-B966-4386-B84D-5773FDCCD801}"/>
                </a:ext>
              </a:extLst>
            </xdr:cNvPr>
            <xdr:cNvSpPr txBox="1">
              <a:spLocks noChangeArrowheads="1"/>
            </xdr:cNvSpPr>
          </xdr:nvSpPr>
          <xdr:spPr bwMode="auto">
            <a:xfrm>
              <a:off x="5258202" y="1632312"/>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6053F0EF-112B-469A-9CA2-F2502487071F}"/>
                </a:ext>
              </a:extLst>
            </xdr:cNvPr>
            <xdr:cNvSpPr txBox="1">
              <a:spLocks noChangeArrowheads="1"/>
            </xdr:cNvSpPr>
          </xdr:nvSpPr>
          <xdr:spPr bwMode="auto">
            <a:xfrm>
              <a:off x="4000290" y="1706387"/>
              <a:ext cx="878766" cy="49604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xdr:txBody>
        </xdr:sp>
        <xdr:sp macro="" textlink="" fLocksText="0">
          <xdr:nvSpPr>
            <xdr:cNvPr id="35" name="正方形/長方形 26">
              <a:extLst>
                <a:ext uri="{FF2B5EF4-FFF2-40B4-BE49-F238E27FC236}">
                  <a16:creationId xmlns:a16="http://schemas.microsoft.com/office/drawing/2014/main" id="{CC43A99C-16A1-47F8-969D-E0B2C02BED56}"/>
                </a:ext>
              </a:extLst>
            </xdr:cNvPr>
            <xdr:cNvSpPr/>
          </xdr:nvSpPr>
          <xdr:spPr bwMode="auto">
            <a:xfrm>
              <a:off x="5163404" y="1598452"/>
              <a:ext cx="929522" cy="68625"/>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A9E75A4C-5FFE-49FE-9588-D04E45D3FE67}"/>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B8B0D413-40F9-493C-BBB4-66EF6A7D10B6}"/>
              </a:ext>
            </a:extLst>
          </xdr:cNvPr>
          <xdr:cNvSpPr txBox="1"/>
        </xdr:nvSpPr>
        <xdr:spPr>
          <a:xfrm>
            <a:off x="6282671" y="1183817"/>
            <a:ext cx="1240770" cy="507711"/>
          </a:xfrm>
          <a:prstGeom prst="rect">
            <a:avLst/>
          </a:prstGeom>
          <a:noFill/>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134,677</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3E5A5E90-A8D5-4EE4-AD92-E892F51D0BD6}"/>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EE331A5D-9B76-45EF-8FBD-1152022D783F}"/>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94078690-4635-468E-87CD-975031F8F12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4214A4C4-1279-4007-9992-C5E27867C3F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586C4512-B64C-4B73-A66F-29B7DD5E367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B25D2F8-2758-445E-BCFE-D99C8CCE3C3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ED108F12-4E03-49E9-A75E-A727B65F6296}"/>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8BA34E47-85D0-4F34-9108-C839FE1F81B2}"/>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527E7CA2-24F0-40FA-BF20-E2603DA1B627}"/>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7004BDDF-182E-4FFF-B094-F3E7F8A054E5}"/>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81515</xdr:rowOff>
    </xdr:to>
    <xdr:grpSp>
      <xdr:nvGrpSpPr>
        <xdr:cNvPr id="14" name="グループ化 23">
          <a:extLst>
            <a:ext uri="{FF2B5EF4-FFF2-40B4-BE49-F238E27FC236}">
              <a16:creationId xmlns:a16="http://schemas.microsoft.com/office/drawing/2014/main" id="{8A2FAB31-C0A9-4B3C-9232-E2C2E6C240E2}"/>
            </a:ext>
          </a:extLst>
        </xdr:cNvPr>
        <xdr:cNvGrpSpPr>
          <a:grpSpLocks/>
        </xdr:cNvGrpSpPr>
      </xdr:nvGrpSpPr>
      <xdr:grpSpPr>
        <a:xfrm>
          <a:off x="278946" y="496117"/>
          <a:ext cx="8601735" cy="4681274"/>
          <a:chOff x="190005" y="202199"/>
          <a:chExt cx="8752114" cy="4563520"/>
        </a:xfrm>
      </xdr:grpSpPr>
      <xdr:sp macro="" textlink="" fLocksText="0">
        <xdr:nvSpPr>
          <xdr:cNvPr id="16" name="正方形/長方形 4">
            <a:extLst>
              <a:ext uri="{FF2B5EF4-FFF2-40B4-BE49-F238E27FC236}">
                <a16:creationId xmlns:a16="http://schemas.microsoft.com/office/drawing/2014/main" id="{F4CCD2E6-8A49-4623-8242-2EDD06814228}"/>
              </a:ext>
            </a:extLst>
          </xdr:cNvPr>
          <xdr:cNvSpPr/>
        </xdr:nvSpPr>
        <xdr:spPr bwMode="auto">
          <a:xfrm>
            <a:off x="1344747" y="2704565"/>
            <a:ext cx="1089695" cy="1354953"/>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66,890</a:t>
            </a:r>
          </a:p>
        </xdr:txBody>
      </xdr:sp>
      <xdr:sp macro="" textlink="" fLocksText="0">
        <xdr:nvSpPr>
          <xdr:cNvPr id="17" name="正方形/長方形 7">
            <a:extLst>
              <a:ext uri="{FF2B5EF4-FFF2-40B4-BE49-F238E27FC236}">
                <a16:creationId xmlns:a16="http://schemas.microsoft.com/office/drawing/2014/main" id="{1CF13251-FC8F-454E-A1B0-3D59DC971595}"/>
              </a:ext>
            </a:extLst>
          </xdr:cNvPr>
          <xdr:cNvSpPr/>
        </xdr:nvSpPr>
        <xdr:spPr bwMode="auto">
          <a:xfrm>
            <a:off x="1342398" y="1949465"/>
            <a:ext cx="1084552" cy="76336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16,491</a:t>
            </a:r>
          </a:p>
        </xdr:txBody>
      </xdr:sp>
      <xdr:sp macro="" textlink="" fLocksText="0">
        <xdr:nvSpPr>
          <xdr:cNvPr id="18" name="正方形/長方形 8">
            <a:extLst>
              <a:ext uri="{FF2B5EF4-FFF2-40B4-BE49-F238E27FC236}">
                <a16:creationId xmlns:a16="http://schemas.microsoft.com/office/drawing/2014/main" id="{A451FE9C-3318-44B0-A668-367BD74EC24A}"/>
              </a:ext>
            </a:extLst>
          </xdr:cNvPr>
          <xdr:cNvSpPr/>
        </xdr:nvSpPr>
        <xdr:spPr bwMode="auto">
          <a:xfrm>
            <a:off x="1330649" y="1069405"/>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41,913</a:t>
            </a:r>
          </a:p>
        </xdr:txBody>
      </xdr:sp>
      <xdr:sp macro="" textlink="" fLocksText="0">
        <xdr:nvSpPr>
          <xdr:cNvPr id="19" name="正方形/長方形 9">
            <a:extLst>
              <a:ext uri="{FF2B5EF4-FFF2-40B4-BE49-F238E27FC236}">
                <a16:creationId xmlns:a16="http://schemas.microsoft.com/office/drawing/2014/main" id="{5F211300-4A18-4574-9642-86401784B12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74,260</a:t>
            </a:r>
          </a:p>
        </xdr:txBody>
      </xdr:sp>
      <xdr:sp macro="" textlink="" fLocksText="0">
        <xdr:nvSpPr>
          <xdr:cNvPr id="20" name="正方形/長方形 10">
            <a:extLst>
              <a:ext uri="{FF2B5EF4-FFF2-40B4-BE49-F238E27FC236}">
                <a16:creationId xmlns:a16="http://schemas.microsoft.com/office/drawing/2014/main" id="{D31EF9FC-EEA7-44CB-B0B1-20BE900DF0B9}"/>
              </a:ext>
            </a:extLst>
          </xdr:cNvPr>
          <xdr:cNvSpPr/>
        </xdr:nvSpPr>
        <xdr:spPr bwMode="auto">
          <a:xfrm>
            <a:off x="6686461" y="1619870"/>
            <a:ext cx="1139329" cy="831403"/>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17,757</a:t>
            </a:r>
          </a:p>
        </xdr:txBody>
      </xdr:sp>
      <xdr:sp macro="" textlink="" fLocksText="0">
        <xdr:nvSpPr>
          <xdr:cNvPr id="21" name="正方形/長方形 11">
            <a:extLst>
              <a:ext uri="{FF2B5EF4-FFF2-40B4-BE49-F238E27FC236}">
                <a16:creationId xmlns:a16="http://schemas.microsoft.com/office/drawing/2014/main" id="{AC227158-F57D-4E16-BD9D-8A0460D997C6}"/>
              </a:ext>
            </a:extLst>
          </xdr:cNvPr>
          <xdr:cNvSpPr/>
        </xdr:nvSpPr>
        <xdr:spPr bwMode="auto">
          <a:xfrm>
            <a:off x="6683992" y="719561"/>
            <a:ext cx="1139329" cy="90661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42,659</a:t>
            </a:r>
          </a:p>
        </xdr:txBody>
      </xdr:sp>
      <xdr:sp macro="" textlink="" fLocksText="0">
        <xdr:nvSpPr>
          <xdr:cNvPr id="22" name="正方形/長方形 12">
            <a:extLst>
              <a:ext uri="{FF2B5EF4-FFF2-40B4-BE49-F238E27FC236}">
                <a16:creationId xmlns:a16="http://schemas.microsoft.com/office/drawing/2014/main" id="{5E82AB40-1725-4A5D-885B-98791980D2CB}"/>
              </a:ext>
            </a:extLst>
          </xdr:cNvPr>
          <xdr:cNvSpPr/>
        </xdr:nvSpPr>
        <xdr:spPr bwMode="auto">
          <a:xfrm>
            <a:off x="405994" y="1055523"/>
            <a:ext cx="934909" cy="29933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125,295</a:t>
            </a:r>
          </a:p>
        </xdr:txBody>
      </xdr:sp>
      <xdr:sp macro="" textlink="" fLocksText="0">
        <xdr:nvSpPr>
          <xdr:cNvPr id="23" name="正方形/長方形 13">
            <a:extLst>
              <a:ext uri="{FF2B5EF4-FFF2-40B4-BE49-F238E27FC236}">
                <a16:creationId xmlns:a16="http://schemas.microsoft.com/office/drawing/2014/main" id="{9B50063B-04B3-4622-BC80-0C163F434C3D}"/>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134,677</a:t>
            </a:r>
          </a:p>
        </xdr:txBody>
      </xdr:sp>
      <xdr:cxnSp macro="">
        <xdr:nvCxnSpPr>
          <xdr:cNvPr id="24" name="直線コネクタ 14">
            <a:extLst>
              <a:ext uri="{FF2B5EF4-FFF2-40B4-BE49-F238E27FC236}">
                <a16:creationId xmlns:a16="http://schemas.microsoft.com/office/drawing/2014/main" id="{91B0E0D1-311F-43EB-A6BA-897B608CC258}"/>
              </a:ext>
            </a:extLst>
          </xdr:cNvPr>
          <xdr:cNvCxnSpPr/>
        </xdr:nvCxnSpPr>
        <xdr:spPr bwMode="auto">
          <a:xfrm flipV="1">
            <a:off x="2415594" y="2458277"/>
            <a:ext cx="4262308" cy="24628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1C7AC633-5CA0-4BE7-A458-F4EB598EC8B9}"/>
              </a:ext>
            </a:extLst>
          </xdr:cNvPr>
          <xdr:cNvCxnSpPr/>
        </xdr:nvCxnSpPr>
        <xdr:spPr bwMode="auto">
          <a:xfrm flipV="1">
            <a:off x="2369228" y="1632484"/>
            <a:ext cx="4312077" cy="309011"/>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DFD10641-3BE9-4528-9A83-39B3D8D7BAA0}"/>
              </a:ext>
            </a:extLst>
          </xdr:cNvPr>
          <xdr:cNvSpPr txBox="1"/>
        </xdr:nvSpPr>
        <xdr:spPr>
          <a:xfrm>
            <a:off x="2754907" y="1733385"/>
            <a:ext cx="3619833" cy="935388"/>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+1,265 (+7.7%)</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-168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r>
              <a:rPr lang="en-US" altLang="ja-JP" sz="1100" baseline="0">
                <a:latin typeface="Meiryo UI" pitchFamily="50" charset="-128"/>
                <a:ea typeface="Meiryo UI" pitchFamily="50" charset="-128"/>
                <a:cs typeface="Meiryo UI" pitchFamily="50" charset="-128"/>
              </a:rPr>
              <a:t> </a:t>
            </a:r>
          </a:p>
          <a:p>
            <a:pPr algn="l">
              <a:lnSpc>
                <a:spcPct val="70000"/>
              </a:lnSpc>
              <a:spcBef>
                <a:spcPct val="0"/>
              </a:spcBef>
            </a:pPr>
            <a:r>
              <a:rPr lang="en-US" altLang="ja-JP" sz="1100" baseline="0">
                <a:latin typeface="Meiryo UI" pitchFamily="50" charset="-128"/>
                <a:ea typeface="Meiryo UI" pitchFamily="50" charset="-128"/>
                <a:cs typeface="Meiryo UI" pitchFamily="50" charset="-128"/>
              </a:rPr>
              <a:t>                +272</a:t>
            </a: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ja-JP" altLang="en-US" sz="1100" baseline="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+1,128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xdr:txBody>
      </xdr:sp>
      <xdr:cxnSp macro="">
        <xdr:nvCxnSpPr>
          <xdr:cNvPr id="27" name="直線コネクタ 17">
            <a:extLst>
              <a:ext uri="{FF2B5EF4-FFF2-40B4-BE49-F238E27FC236}">
                <a16:creationId xmlns:a16="http://schemas.microsoft.com/office/drawing/2014/main" id="{206CDFD9-8D0A-4534-AB77-EC20422EEA49}"/>
              </a:ext>
            </a:extLst>
          </xdr:cNvPr>
          <xdr:cNvCxnSpPr/>
        </xdr:nvCxnSpPr>
        <xdr:spPr bwMode="auto">
          <a:xfrm flipV="1">
            <a:off x="2349356" y="724366"/>
            <a:ext cx="4338572" cy="35315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3B6F63DB-742B-455C-ACE7-7C5E21355AAD}"/>
              </a:ext>
            </a:extLst>
          </xdr:cNvPr>
          <xdr:cNvSpPr txBox="1"/>
        </xdr:nvSpPr>
        <xdr:spPr>
          <a:xfrm>
            <a:off x="3065929" y="1070133"/>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+746 </a:t>
            </a:r>
            <a:r>
              <a:rPr lang="en-US" altLang="ja-JP" sz="1400" b="0">
                <a:latin typeface="Meiryo UI" pitchFamily="50" charset="-128"/>
                <a:ea typeface="Meiryo UI" pitchFamily="50" charset="-128"/>
                <a:cs typeface="Meiryo UI" pitchFamily="50" charset="-128"/>
              </a:rPr>
              <a:t>(+1.8%)</a:t>
            </a:r>
          </a:p>
        </xdr:txBody>
      </xdr:sp>
      <xdr:sp macro="" textlink="">
        <xdr:nvSpPr>
          <xdr:cNvPr id="29" name="テキスト ボックス 19">
            <a:extLst>
              <a:ext uri="{FF2B5EF4-FFF2-40B4-BE49-F238E27FC236}">
                <a16:creationId xmlns:a16="http://schemas.microsoft.com/office/drawing/2014/main" id="{8A040BF1-137F-4FA4-A5D0-3F1E7EB6B4F9}"/>
              </a:ext>
            </a:extLst>
          </xdr:cNvPr>
          <xdr:cNvSpPr txBox="1"/>
        </xdr:nvSpPr>
        <xdr:spPr>
          <a:xfrm>
            <a:off x="699838" y="4080657"/>
            <a:ext cx="1461518"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FY25Q2</a:t>
            </a:r>
          </a:p>
          <a:p>
            <a:pPr>
              <a:lnSpc>
                <a:spcPct val="70000"/>
              </a:lnSpc>
              <a:spcBef>
                <a:spcPct val="0"/>
              </a:spcBef>
            </a:pPr>
            <a:r>
              <a:rPr lang="en-US" altLang="ja-JP" b="1">
                <a:latin typeface="メイリオ" pitchFamily="50" charset="-128"/>
                <a:ea typeface="メイリオ" pitchFamily="50" charset="-128"/>
                <a:cs typeface="メイリオ" pitchFamily="50" charset="-128"/>
              </a:rPr>
              <a:t>6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94E2025D-955C-4E43-8003-0CD537E98DB7}"/>
              </a:ext>
            </a:extLst>
          </xdr:cNvPr>
          <xdr:cNvSpPr txBox="1"/>
        </xdr:nvSpPr>
        <xdr:spPr>
          <a:xfrm>
            <a:off x="7021752" y="4087914"/>
            <a:ext cx="1385043"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FY26Q2</a:t>
            </a:r>
          </a:p>
          <a:p>
            <a:pPr>
              <a:lnSpc>
                <a:spcPct val="70000"/>
              </a:lnSpc>
              <a:spcBef>
                <a:spcPct val="0"/>
              </a:spcBef>
            </a:pPr>
            <a:r>
              <a:rPr lang="en-US" altLang="ja-JP" b="1">
                <a:latin typeface="メイリオ" pitchFamily="50" charset="-128"/>
                <a:ea typeface="メイリオ" pitchFamily="50" charset="-128"/>
                <a:cs typeface="メイリオ" pitchFamily="50" charset="-128"/>
              </a:rPr>
              <a:t>6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99F8873D-4AD3-4DBA-A5E5-104EB86552B2}"/>
              </a:ext>
            </a:extLst>
          </xdr:cNvPr>
          <xdr:cNvSpPr txBox="1"/>
        </xdr:nvSpPr>
        <xdr:spPr>
          <a:xfrm>
            <a:off x="2662028" y="2799159"/>
            <a:ext cx="3828508" cy="1168256"/>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+7,370</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(+11.0%)</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+6,101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 </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ja-JP" altLang="en-US"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+584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 </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-110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+630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                   </a:t>
            </a:r>
          </a:p>
        </xdr:txBody>
      </xdr:sp>
      <xdr:sp macro="" textlink="">
        <xdr:nvSpPr>
          <xdr:cNvPr id="32" name="テキスト ボックス 28">
            <a:extLst>
              <a:ext uri="{FF2B5EF4-FFF2-40B4-BE49-F238E27FC236}">
                <a16:creationId xmlns:a16="http://schemas.microsoft.com/office/drawing/2014/main" id="{4CF56F27-F399-4BC1-8F87-0EC9945CFEB1}"/>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88FB93A2-5D83-43C3-AB8C-834E139B993B}"/>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25" customHeight="1"/>
  <cols>
    <col min="1" max="1" width="5.1328125" style="29" customWidth="1"/>
    <col min="2" max="16384" width="9" style="29"/>
  </cols>
  <sheetData>
    <row r="1" spans="1:17" ht="20.25" customHeight="1">
      <c r="A1" s="53"/>
      <c r="B1" s="53"/>
      <c r="C1" s="53"/>
      <c r="D1" s="53"/>
      <c r="E1" s="53"/>
      <c r="F1" s="53"/>
      <c r="G1" s="53"/>
      <c r="H1" s="53"/>
      <c r="I1" s="53"/>
      <c r="J1" s="53"/>
      <c r="K1" s="53"/>
      <c r="L1" s="53"/>
      <c r="M1" s="53"/>
      <c r="N1" s="53"/>
      <c r="O1" s="53"/>
      <c r="P1" s="53"/>
      <c r="Q1" s="53"/>
    </row>
    <row r="2" spans="1:17" ht="20.25" customHeight="1">
      <c r="A2" s="53"/>
      <c r="B2" s="53"/>
      <c r="C2" s="53"/>
      <c r="D2" s="53"/>
      <c r="E2" s="53"/>
      <c r="F2" s="53"/>
      <c r="G2" s="53"/>
      <c r="H2" s="53"/>
      <c r="I2" s="53"/>
      <c r="J2" s="53"/>
      <c r="K2" s="53"/>
      <c r="L2" s="53"/>
      <c r="M2" s="53"/>
      <c r="N2" s="53"/>
      <c r="O2" s="53"/>
      <c r="P2" s="53"/>
      <c r="Q2" s="53"/>
    </row>
    <row r="3" spans="1:17" ht="20.25" customHeight="1">
      <c r="A3" s="53"/>
      <c r="B3" s="53"/>
      <c r="C3" s="53"/>
      <c r="D3" s="53"/>
      <c r="E3" s="53"/>
      <c r="F3" s="53"/>
      <c r="G3" s="53"/>
      <c r="H3" s="53"/>
      <c r="I3" s="53"/>
      <c r="J3" s="53"/>
      <c r="K3" s="53"/>
      <c r="L3" s="53"/>
      <c r="M3" s="53"/>
      <c r="N3" s="53"/>
      <c r="O3" s="53"/>
      <c r="P3" s="53"/>
      <c r="Q3" s="53"/>
    </row>
    <row r="4" spans="1:17" ht="20.25" customHeight="1">
      <c r="A4" s="53"/>
      <c r="B4" s="53"/>
      <c r="C4" s="53"/>
      <c r="D4" s="53"/>
      <c r="E4" s="53"/>
      <c r="F4" s="53"/>
      <c r="G4" s="53"/>
      <c r="H4" s="53"/>
      <c r="I4" s="53"/>
      <c r="J4" s="53"/>
      <c r="K4" s="53"/>
      <c r="L4" s="53"/>
      <c r="M4" s="53"/>
      <c r="N4" s="53"/>
      <c r="O4" s="53"/>
      <c r="P4" s="53"/>
      <c r="Q4" s="53"/>
    </row>
    <row r="5" spans="1:17" ht="20.25" customHeight="1">
      <c r="A5" s="53"/>
      <c r="B5" s="53"/>
      <c r="C5" s="53"/>
      <c r="D5" s="53"/>
      <c r="E5" s="53"/>
      <c r="F5" s="53"/>
      <c r="G5" s="53"/>
      <c r="H5" s="53"/>
      <c r="I5" s="53"/>
      <c r="J5" s="53"/>
      <c r="K5" s="53"/>
      <c r="L5" s="53"/>
      <c r="M5" s="53"/>
      <c r="N5" s="53"/>
      <c r="O5" s="53"/>
      <c r="P5" s="53"/>
      <c r="Q5" s="53"/>
    </row>
    <row r="6" spans="1:17" ht="22.15">
      <c r="A6" s="53"/>
      <c r="B6" s="570" t="s">
        <v>298</v>
      </c>
      <c r="C6" s="570"/>
      <c r="D6" s="570"/>
      <c r="E6" s="570"/>
      <c r="F6" s="570"/>
      <c r="G6" s="570"/>
      <c r="H6" s="570"/>
      <c r="I6" s="570"/>
      <c r="J6" s="570"/>
      <c r="K6" s="570"/>
      <c r="L6" s="570"/>
      <c r="M6" s="570"/>
      <c r="N6" s="570"/>
      <c r="O6" s="570"/>
      <c r="P6" s="570"/>
      <c r="Q6" s="53"/>
    </row>
    <row r="7" spans="1:17" ht="18.75">
      <c r="A7" s="53"/>
      <c r="B7" s="571" t="s">
        <v>299</v>
      </c>
      <c r="C7" s="571"/>
      <c r="D7" s="571"/>
      <c r="E7" s="571"/>
      <c r="F7" s="571"/>
      <c r="G7" s="571"/>
      <c r="H7" s="571"/>
      <c r="I7" s="571"/>
      <c r="J7" s="571"/>
      <c r="K7" s="571"/>
      <c r="L7" s="571"/>
      <c r="M7" s="571"/>
      <c r="N7" s="571"/>
      <c r="O7" s="571"/>
      <c r="P7" s="571"/>
      <c r="Q7" s="53"/>
    </row>
    <row r="8" spans="1:17" ht="18.75">
      <c r="A8" s="53"/>
      <c r="B8" s="571" t="s">
        <v>143</v>
      </c>
      <c r="C8" s="571"/>
      <c r="D8" s="571"/>
      <c r="E8" s="571"/>
      <c r="F8" s="571"/>
      <c r="G8" s="571"/>
      <c r="H8" s="571"/>
      <c r="I8" s="571"/>
      <c r="J8" s="571"/>
      <c r="K8" s="571"/>
      <c r="L8" s="571"/>
      <c r="M8" s="571"/>
      <c r="N8" s="571"/>
      <c r="O8" s="571"/>
      <c r="P8" s="571"/>
      <c r="Q8" s="53"/>
    </row>
    <row r="9" spans="1:17" ht="21" customHeight="1">
      <c r="A9" s="53"/>
      <c r="B9" s="572">
        <v>46014</v>
      </c>
      <c r="C9" s="572"/>
      <c r="D9" s="572"/>
      <c r="E9" s="572"/>
      <c r="F9" s="572"/>
      <c r="G9" s="572"/>
      <c r="H9" s="572"/>
      <c r="I9" s="572"/>
      <c r="J9" s="572"/>
      <c r="K9" s="572"/>
      <c r="L9" s="572"/>
      <c r="M9" s="572"/>
      <c r="N9" s="572"/>
      <c r="O9" s="572"/>
      <c r="P9" s="572"/>
      <c r="Q9" s="53"/>
    </row>
    <row r="10" spans="1:17" ht="20.25" customHeight="1">
      <c r="A10" s="53"/>
      <c r="B10" s="53"/>
      <c r="C10" s="53"/>
      <c r="D10" s="53"/>
      <c r="E10" s="53"/>
      <c r="F10" s="53"/>
      <c r="G10" s="53"/>
      <c r="H10" s="53"/>
      <c r="I10" s="53"/>
      <c r="J10" s="53"/>
      <c r="K10" s="53"/>
      <c r="L10" s="53"/>
      <c r="M10" s="53"/>
      <c r="N10" s="53"/>
      <c r="O10" s="53"/>
      <c r="P10" s="53"/>
      <c r="Q10" s="53"/>
    </row>
    <row r="11" spans="1:17" s="30" customFormat="1" ht="23" customHeight="1">
      <c r="A11" s="54"/>
      <c r="B11" s="55" t="s">
        <v>80</v>
      </c>
      <c r="C11" s="54" t="s">
        <v>100</v>
      </c>
      <c r="D11" s="54"/>
      <c r="E11" s="54"/>
      <c r="F11" s="54"/>
      <c r="G11" s="54"/>
      <c r="H11" s="56"/>
      <c r="I11" s="54"/>
      <c r="J11" s="55"/>
      <c r="K11" s="54"/>
      <c r="L11" s="54"/>
      <c r="M11" s="54"/>
      <c r="N11" s="54"/>
      <c r="O11" s="54"/>
      <c r="P11" s="54"/>
      <c r="Q11" s="54"/>
    </row>
    <row r="12" spans="1:17" s="30" customFormat="1" ht="23" customHeight="1">
      <c r="A12" s="54"/>
      <c r="B12" s="55" t="s">
        <v>76</v>
      </c>
      <c r="C12" s="54" t="s">
        <v>34</v>
      </c>
      <c r="D12" s="54"/>
      <c r="E12" s="54"/>
      <c r="F12" s="54"/>
      <c r="G12" s="54"/>
      <c r="H12" s="56"/>
      <c r="I12" s="54"/>
      <c r="J12" s="55"/>
      <c r="K12" s="54"/>
      <c r="L12" s="54"/>
      <c r="M12" s="54"/>
      <c r="N12" s="54"/>
      <c r="O12" s="54"/>
      <c r="P12" s="54"/>
      <c r="Q12" s="54"/>
    </row>
    <row r="13" spans="1:17" s="30" customFormat="1" ht="23" customHeight="1">
      <c r="A13" s="54"/>
      <c r="B13" s="55"/>
      <c r="C13" s="54"/>
      <c r="D13" s="54"/>
      <c r="E13" s="54"/>
      <c r="F13" s="54"/>
      <c r="G13" s="54"/>
      <c r="H13" s="56"/>
      <c r="I13" s="54"/>
      <c r="J13" s="55"/>
      <c r="K13" s="54"/>
      <c r="L13" s="54"/>
      <c r="M13" s="54"/>
      <c r="N13" s="54"/>
      <c r="O13" s="54"/>
      <c r="P13" s="54"/>
      <c r="Q13" s="54"/>
    </row>
    <row r="14" spans="1:17" s="30" customFormat="1" ht="23" customHeight="1">
      <c r="A14" s="54"/>
      <c r="B14" s="55"/>
      <c r="C14" s="54"/>
      <c r="D14" s="54"/>
      <c r="E14" s="54"/>
      <c r="F14" s="54"/>
      <c r="G14" s="54"/>
      <c r="H14" s="56"/>
      <c r="I14" s="54"/>
      <c r="J14" s="55"/>
      <c r="K14" s="54"/>
      <c r="L14" s="54"/>
      <c r="M14" s="54"/>
      <c r="N14" s="54"/>
      <c r="O14" s="54"/>
      <c r="P14" s="54"/>
      <c r="Q14" s="54"/>
    </row>
    <row r="15" spans="1:17" s="30" customFormat="1" ht="23" customHeight="1">
      <c r="A15" s="54"/>
      <c r="B15" s="55"/>
      <c r="C15" s="54"/>
      <c r="D15" s="54"/>
      <c r="E15" s="54"/>
      <c r="F15" s="54"/>
      <c r="G15" s="54"/>
      <c r="H15" s="56"/>
      <c r="I15" s="54"/>
      <c r="J15" s="55"/>
      <c r="K15" s="54"/>
      <c r="L15" s="54"/>
      <c r="M15" s="54"/>
      <c r="N15" s="54"/>
      <c r="O15" s="54"/>
      <c r="P15" s="54"/>
      <c r="Q15" s="54"/>
    </row>
    <row r="16" spans="1:17" s="30" customFormat="1" ht="23" customHeight="1">
      <c r="A16" s="54"/>
      <c r="B16" s="55"/>
      <c r="C16" s="54"/>
      <c r="D16" s="54"/>
      <c r="E16" s="54"/>
      <c r="F16" s="54"/>
      <c r="G16" s="54"/>
      <c r="H16" s="56"/>
      <c r="I16" s="54"/>
      <c r="J16" s="55"/>
      <c r="K16" s="54"/>
      <c r="L16" s="54"/>
      <c r="M16" s="54"/>
      <c r="N16" s="54"/>
      <c r="O16" s="54"/>
      <c r="P16" s="54"/>
      <c r="Q16" s="54"/>
    </row>
    <row r="17" spans="1:17" ht="20.25" customHeight="1">
      <c r="A17" s="53"/>
      <c r="B17" s="55"/>
      <c r="C17" s="54"/>
      <c r="D17" s="53"/>
      <c r="E17" s="53"/>
      <c r="F17" s="57"/>
      <c r="G17" s="53"/>
      <c r="H17" s="53"/>
      <c r="I17" s="53"/>
      <c r="J17" s="53"/>
      <c r="K17" s="53"/>
      <c r="L17" s="53"/>
      <c r="M17" s="53"/>
      <c r="N17" s="53"/>
      <c r="O17" s="53"/>
      <c r="P17" s="53"/>
      <c r="Q17" s="53"/>
    </row>
    <row r="18" spans="1:17" ht="22.15">
      <c r="A18" s="53"/>
      <c r="B18" s="58"/>
      <c r="C18" s="58"/>
      <c r="D18" s="58"/>
      <c r="E18" s="58"/>
      <c r="F18" s="58"/>
      <c r="G18" s="58"/>
      <c r="H18" s="58"/>
      <c r="I18" s="58"/>
      <c r="J18" s="58"/>
      <c r="K18" s="58"/>
      <c r="L18" s="58"/>
      <c r="M18" s="58"/>
      <c r="N18" s="58"/>
      <c r="O18" s="58"/>
      <c r="P18" s="58"/>
      <c r="Q18" s="53"/>
    </row>
    <row r="19" spans="1:17" ht="26.25" customHeight="1">
      <c r="A19" s="53"/>
      <c r="B19" s="570" t="s">
        <v>58</v>
      </c>
      <c r="C19" s="570"/>
      <c r="D19" s="570"/>
      <c r="E19" s="570"/>
      <c r="F19" s="570"/>
      <c r="G19" s="570"/>
      <c r="H19" s="570"/>
      <c r="I19" s="570"/>
      <c r="J19" s="570"/>
      <c r="K19" s="570"/>
      <c r="L19" s="570"/>
      <c r="M19" s="570"/>
      <c r="N19" s="570"/>
      <c r="O19" s="570"/>
      <c r="P19" s="570"/>
      <c r="Q19" s="53"/>
    </row>
    <row r="20" spans="1:17" ht="26.25" customHeight="1">
      <c r="A20" s="53"/>
      <c r="B20" s="59"/>
      <c r="C20" s="59"/>
      <c r="D20" s="59"/>
      <c r="E20" s="59"/>
      <c r="F20" s="59"/>
      <c r="G20" s="59"/>
      <c r="H20" s="59"/>
      <c r="I20" s="60" t="s">
        <v>75</v>
      </c>
      <c r="J20" s="59"/>
      <c r="K20" s="59"/>
      <c r="L20" s="59"/>
      <c r="M20" s="59"/>
      <c r="N20" s="59"/>
      <c r="O20" s="59"/>
      <c r="P20" s="59"/>
      <c r="Q20" s="53"/>
    </row>
    <row r="21" spans="1:17" ht="20.25" customHeight="1">
      <c r="A21" s="53"/>
      <c r="B21" s="53"/>
      <c r="C21" s="53"/>
      <c r="D21" s="53"/>
      <c r="E21" s="53"/>
      <c r="F21" s="53"/>
      <c r="G21" s="53"/>
      <c r="H21" s="53"/>
      <c r="I21" s="53"/>
      <c r="J21" s="53"/>
      <c r="K21" s="53"/>
      <c r="L21" s="53"/>
      <c r="M21" s="53"/>
      <c r="N21" s="53"/>
      <c r="O21" s="53"/>
      <c r="P21" s="53"/>
      <c r="Q21" s="53"/>
    </row>
    <row r="22" spans="1:17" ht="20.25" customHeight="1">
      <c r="A22" s="53"/>
      <c r="B22" s="53"/>
      <c r="C22" s="53"/>
      <c r="D22" s="53"/>
      <c r="E22" s="53"/>
      <c r="F22" s="53"/>
      <c r="G22" s="53"/>
      <c r="H22" s="53"/>
      <c r="I22" s="53"/>
      <c r="J22" s="53"/>
      <c r="K22" s="53"/>
      <c r="L22" s="53"/>
      <c r="M22" s="53"/>
      <c r="N22" s="53"/>
      <c r="O22" s="53"/>
      <c r="P22" s="53"/>
      <c r="Q22" s="53"/>
    </row>
    <row r="23" spans="1:17" ht="20.25" customHeight="1">
      <c r="A23" s="53"/>
      <c r="B23" s="53"/>
      <c r="C23" s="53"/>
      <c r="D23" s="53"/>
      <c r="E23" s="53"/>
      <c r="F23" s="53"/>
      <c r="G23" s="53"/>
      <c r="H23" s="53"/>
      <c r="I23" s="53"/>
      <c r="J23" s="53"/>
      <c r="K23" s="53"/>
      <c r="L23" s="53"/>
      <c r="M23" s="53"/>
      <c r="N23" s="53"/>
      <c r="O23" s="53"/>
      <c r="P23" s="53"/>
      <c r="Q23" s="53"/>
    </row>
    <row r="24" spans="1:17" ht="20.25" customHeight="1">
      <c r="A24" s="53"/>
      <c r="B24" s="53"/>
      <c r="C24" s="53"/>
      <c r="D24" s="53"/>
      <c r="E24" s="53"/>
      <c r="F24" s="53"/>
      <c r="G24" s="53"/>
      <c r="H24" s="53"/>
      <c r="I24" s="53"/>
      <c r="J24" s="53"/>
      <c r="K24" s="53"/>
      <c r="L24" s="53"/>
      <c r="M24" s="53"/>
      <c r="N24" s="53"/>
      <c r="O24" s="53"/>
      <c r="P24" s="53"/>
      <c r="Q24" s="53"/>
    </row>
    <row r="25" spans="1:17" ht="20.25" customHeight="1">
      <c r="A25" s="53"/>
      <c r="B25" s="53"/>
      <c r="C25" s="53"/>
      <c r="D25" s="53"/>
      <c r="E25" s="53"/>
      <c r="F25" s="53"/>
      <c r="G25" s="53"/>
      <c r="H25" s="53"/>
      <c r="I25" s="53"/>
      <c r="J25" s="53"/>
      <c r="K25" s="53"/>
      <c r="L25" s="53"/>
      <c r="M25" s="53"/>
      <c r="N25" s="53"/>
      <c r="O25" s="53"/>
      <c r="P25" s="53"/>
      <c r="Q25" s="53"/>
    </row>
    <row r="26" spans="1:17" ht="20.25" customHeight="1">
      <c r="A26" s="53"/>
      <c r="B26" s="53"/>
      <c r="C26" s="53"/>
      <c r="D26" s="53"/>
      <c r="E26" s="53"/>
      <c r="F26" s="53"/>
      <c r="G26" s="53"/>
      <c r="H26" s="53"/>
      <c r="I26" s="53"/>
      <c r="J26" s="53"/>
      <c r="K26" s="53"/>
      <c r="L26" s="53"/>
      <c r="M26" s="53"/>
      <c r="N26" s="53"/>
      <c r="O26" s="53"/>
      <c r="P26" s="53"/>
      <c r="Q26" s="53"/>
    </row>
    <row r="27" spans="1:17" ht="20.25" customHeight="1">
      <c r="A27" s="53"/>
      <c r="B27" s="53"/>
      <c r="C27" s="53"/>
      <c r="D27" s="53"/>
      <c r="E27" s="53"/>
      <c r="F27" s="53"/>
      <c r="G27" s="53"/>
      <c r="H27" s="53"/>
      <c r="I27" s="53"/>
      <c r="J27" s="53"/>
      <c r="K27" s="53"/>
      <c r="L27" s="53"/>
      <c r="M27" s="53"/>
      <c r="N27" s="53"/>
      <c r="O27" s="53"/>
      <c r="P27" s="53"/>
      <c r="Q27" s="53"/>
    </row>
    <row r="28" spans="1:17" ht="20.25" customHeight="1">
      <c r="A28" s="53"/>
      <c r="B28" s="53"/>
      <c r="C28" s="53"/>
      <c r="D28" s="53"/>
      <c r="E28" s="53"/>
      <c r="F28" s="53"/>
      <c r="G28" s="53"/>
      <c r="H28" s="53"/>
      <c r="I28" s="53"/>
      <c r="J28" s="53"/>
      <c r="K28" s="53"/>
      <c r="L28" s="53"/>
      <c r="M28" s="53"/>
      <c r="N28" s="53"/>
      <c r="O28" s="53"/>
      <c r="P28" s="53"/>
      <c r="Q28" s="53"/>
    </row>
    <row r="29" spans="1:17" ht="20.25" customHeight="1">
      <c r="A29" s="53"/>
      <c r="B29" s="53"/>
      <c r="C29" s="53"/>
      <c r="D29" s="53"/>
      <c r="E29" s="53"/>
      <c r="F29" s="53"/>
      <c r="G29" s="53"/>
      <c r="H29" s="53"/>
      <c r="I29" s="53"/>
      <c r="J29" s="53"/>
      <c r="K29" s="53"/>
      <c r="L29" s="53"/>
      <c r="M29" s="53"/>
      <c r="N29" s="53"/>
      <c r="O29" s="53"/>
      <c r="P29" s="53"/>
      <c r="Q29" s="53"/>
    </row>
    <row r="30" spans="1:17" ht="20.25" customHeight="1">
      <c r="A30" s="53"/>
      <c r="B30" s="53"/>
      <c r="C30" s="53"/>
      <c r="D30" s="53"/>
      <c r="E30" s="53"/>
      <c r="F30" s="53"/>
      <c r="G30" s="53"/>
      <c r="H30" s="53"/>
      <c r="I30" s="53"/>
      <c r="J30" s="53"/>
      <c r="K30" s="53"/>
      <c r="L30" s="53"/>
      <c r="M30" s="53"/>
      <c r="N30" s="53"/>
      <c r="O30" s="53"/>
      <c r="P30" s="53"/>
      <c r="Q30" s="53"/>
    </row>
  </sheetData>
  <mergeCells count="5">
    <mergeCell ref="B6:P6"/>
    <mergeCell ref="B7:P7"/>
    <mergeCell ref="B19:P19"/>
    <mergeCell ref="B9:P9"/>
    <mergeCell ref="B8:P8"/>
  </mergeCells>
  <phoneticPr fontId="2"/>
  <printOptions horizontalCentered="1" verticalCentered="1"/>
  <pageMargins left="0.43307086614173201" right="0.196850393700787" top="0.66929133858267698" bottom="0.31496062992126" header="0.511811023622047" footer="0.15748031496063"/>
  <pageSetup paperSize="9" scale="85" orientation="landscape" r:id="rId1"/>
  <headerFooter alignWithMargins="0"/>
  <ignoredErrors>
    <ignoredError sqref="B11:B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0"/>
  <sheetViews>
    <sheetView view="pageBreakPreview" zoomScale="40" zoomScaleNormal="55" zoomScaleSheetLayoutView="40" workbookViewId="0">
      <pane xSplit="6" ySplit="4" topLeftCell="G5" activePane="bottomRight" state="frozen"/>
      <selection pane="topRight"/>
      <selection pane="bottomLeft"/>
      <selection pane="bottomRight"/>
    </sheetView>
  </sheetViews>
  <sheetFormatPr defaultColWidth="9" defaultRowHeight="22.15"/>
  <cols>
    <col min="1" max="1" width="2.59765625" style="66" customWidth="1"/>
    <col min="2" max="5" width="3.86328125" style="66" customWidth="1"/>
    <col min="6" max="6" width="80.3984375" style="66" customWidth="1"/>
    <col min="7" max="7" width="21" style="66" customWidth="1"/>
    <col min="8" max="16" width="18.1328125" style="66" customWidth="1"/>
    <col min="17" max="17" width="4.3984375" style="66" customWidth="1"/>
    <col min="18" max="21" width="9" style="66" hidden="1" customWidth="1"/>
    <col min="22" max="22" width="9" style="66"/>
    <col min="23" max="24" width="18.1328125" style="66" bestFit="1" customWidth="1"/>
    <col min="25" max="16384" width="9" style="66"/>
  </cols>
  <sheetData>
    <row r="1" spans="2:16" s="63" customFormat="1" ht="23.25" customHeight="1">
      <c r="B1" s="64" t="s">
        <v>235</v>
      </c>
      <c r="C1" s="64"/>
      <c r="D1" s="64"/>
      <c r="E1" s="64"/>
      <c r="F1" s="64"/>
      <c r="G1" s="64"/>
      <c r="H1" s="64"/>
      <c r="I1" s="103"/>
      <c r="J1" s="103"/>
      <c r="K1" s="103"/>
      <c r="L1" s="103"/>
      <c r="M1" s="103"/>
      <c r="N1" s="103"/>
      <c r="O1" s="103"/>
      <c r="P1" s="65"/>
    </row>
    <row r="2" spans="2:16" ht="30.75" customHeight="1" thickBot="1">
      <c r="B2" s="75" t="s">
        <v>237</v>
      </c>
      <c r="C2" s="75"/>
      <c r="D2" s="70"/>
      <c r="E2" s="70"/>
      <c r="F2" s="70"/>
      <c r="G2" s="144" t="str">
        <f>_EPRCS_VU_e4cff6d0_958f_4039_879c_2b8900534e35</f>
        <v>Q2</v>
      </c>
      <c r="H2" s="70"/>
      <c r="I2" s="70"/>
      <c r="J2" s="70"/>
      <c r="K2" s="70"/>
      <c r="L2" s="70"/>
      <c r="M2" s="70"/>
      <c r="N2" s="70"/>
      <c r="O2" s="70"/>
      <c r="P2" s="70" t="s">
        <v>157</v>
      </c>
    </row>
    <row r="3" spans="2:16" ht="24.75" customHeight="1">
      <c r="B3" s="573"/>
      <c r="C3" s="574"/>
      <c r="D3" s="575"/>
      <c r="E3" s="575"/>
      <c r="F3" s="575"/>
      <c r="G3" s="299"/>
      <c r="H3" s="300"/>
      <c r="I3" s="301">
        <v>46143</v>
      </c>
      <c r="J3" s="300"/>
      <c r="K3" s="302"/>
      <c r="L3" s="74"/>
      <c r="M3" s="67"/>
      <c r="N3" s="72">
        <v>45778</v>
      </c>
      <c r="O3" s="67"/>
      <c r="P3" s="68"/>
    </row>
    <row r="4" spans="2:16" ht="24.75" customHeight="1" thickBot="1">
      <c r="B4" s="576"/>
      <c r="C4" s="577"/>
      <c r="D4" s="577"/>
      <c r="E4" s="577"/>
      <c r="F4" s="577"/>
      <c r="G4" s="365" t="s">
        <v>53</v>
      </c>
      <c r="H4" s="491" t="s">
        <v>54</v>
      </c>
      <c r="I4" s="444" t="s">
        <v>55</v>
      </c>
      <c r="J4" s="303" t="s">
        <v>56</v>
      </c>
      <c r="K4" s="304" t="s">
        <v>57</v>
      </c>
      <c r="L4" s="369" t="s">
        <v>53</v>
      </c>
      <c r="M4" s="500" t="s">
        <v>54</v>
      </c>
      <c r="N4" s="447" t="s">
        <v>55</v>
      </c>
      <c r="O4" s="69" t="s">
        <v>56</v>
      </c>
      <c r="P4" s="73" t="s">
        <v>57</v>
      </c>
    </row>
    <row r="5" spans="2:16" ht="26.25" customHeight="1">
      <c r="B5" s="596"/>
      <c r="C5" s="574" t="s">
        <v>286</v>
      </c>
      <c r="D5" s="574"/>
      <c r="E5" s="574"/>
      <c r="F5" s="595"/>
      <c r="G5" s="308">
        <v>19097</v>
      </c>
      <c r="H5" s="492">
        <v>20031</v>
      </c>
      <c r="I5" s="470"/>
      <c r="J5" s="470"/>
      <c r="K5" s="312">
        <v>39129</v>
      </c>
      <c r="L5" s="370">
        <v>13915</v>
      </c>
      <c r="M5" s="346">
        <v>14368</v>
      </c>
      <c r="N5" s="457">
        <v>16711</v>
      </c>
      <c r="O5" s="77">
        <v>16966</v>
      </c>
      <c r="P5" s="111">
        <v>61962</v>
      </c>
    </row>
    <row r="6" spans="2:16" ht="26.25" customHeight="1">
      <c r="B6" s="597"/>
      <c r="C6" s="581"/>
      <c r="D6" s="581"/>
      <c r="E6" s="581"/>
      <c r="F6" s="589"/>
      <c r="G6" s="366">
        <v>0.372</v>
      </c>
      <c r="H6" s="493">
        <v>0.39400000000000002</v>
      </c>
      <c r="I6" s="472"/>
      <c r="J6" s="472"/>
      <c r="K6" s="307">
        <v>0.38300000000000001</v>
      </c>
      <c r="L6" s="371">
        <v>9.1999999999999998E-2</v>
      </c>
      <c r="M6" s="347">
        <v>0.29299999999999998</v>
      </c>
      <c r="N6" s="451">
        <v>0.42499999999999999</v>
      </c>
      <c r="O6" s="81">
        <v>0.33800000000000002</v>
      </c>
      <c r="P6" s="82">
        <v>0.28399999999999997</v>
      </c>
    </row>
    <row r="7" spans="2:16" ht="26.25" customHeight="1">
      <c r="B7" s="597"/>
      <c r="C7" s="593"/>
      <c r="D7" s="591" t="s">
        <v>293</v>
      </c>
      <c r="E7" s="583"/>
      <c r="F7" s="592"/>
      <c r="G7" s="329">
        <v>9132</v>
      </c>
      <c r="H7" s="492">
        <v>10560</v>
      </c>
      <c r="I7" s="470" t="s">
        <v>302</v>
      </c>
      <c r="J7" s="470" t="s">
        <v>302</v>
      </c>
      <c r="K7" s="312">
        <v>19692</v>
      </c>
      <c r="L7" s="370">
        <v>12551</v>
      </c>
      <c r="M7" s="346">
        <v>9352</v>
      </c>
      <c r="N7" s="457">
        <v>12041</v>
      </c>
      <c r="O7" s="77">
        <v>14683</v>
      </c>
      <c r="P7" s="111">
        <v>48630</v>
      </c>
    </row>
    <row r="8" spans="2:16" ht="26.25" customHeight="1">
      <c r="B8" s="597"/>
      <c r="C8" s="594"/>
      <c r="D8" s="588"/>
      <c r="E8" s="581"/>
      <c r="F8" s="589"/>
      <c r="G8" s="501">
        <v>-0.27200000000000002</v>
      </c>
      <c r="H8" s="493">
        <v>0.129</v>
      </c>
      <c r="I8" s="472" t="s">
        <v>302</v>
      </c>
      <c r="J8" s="472" t="s">
        <v>302</v>
      </c>
      <c r="K8" s="307">
        <v>-0.10100000000000001</v>
      </c>
      <c r="L8" s="371">
        <v>0.48799999999999999</v>
      </c>
      <c r="M8" s="347">
        <v>-0.21</v>
      </c>
      <c r="N8" s="451">
        <v>9.1999999999999998E-2</v>
      </c>
      <c r="O8" s="81">
        <v>-8.2000000000000003E-2</v>
      </c>
      <c r="P8" s="82">
        <v>2.8000000000000001E-2</v>
      </c>
    </row>
    <row r="9" spans="2:16" ht="26.25" customHeight="1">
      <c r="B9" s="597"/>
      <c r="C9" s="594"/>
      <c r="D9" s="586" t="s">
        <v>294</v>
      </c>
      <c r="E9" s="579"/>
      <c r="F9" s="587"/>
      <c r="G9" s="308">
        <v>28308</v>
      </c>
      <c r="H9" s="492">
        <v>28415</v>
      </c>
      <c r="I9" s="470"/>
      <c r="J9" s="470"/>
      <c r="K9" s="312">
        <v>56724</v>
      </c>
      <c r="L9" s="370">
        <v>27969</v>
      </c>
      <c r="M9" s="346">
        <v>28190</v>
      </c>
      <c r="N9" s="457">
        <v>27976</v>
      </c>
      <c r="O9" s="77">
        <v>28301</v>
      </c>
      <c r="P9" s="111">
        <v>112438</v>
      </c>
    </row>
    <row r="10" spans="2:16" ht="26.25" customHeight="1">
      <c r="B10" s="597"/>
      <c r="C10" s="594"/>
      <c r="D10" s="588"/>
      <c r="E10" s="581"/>
      <c r="F10" s="589"/>
      <c r="G10" s="366">
        <v>1.2E-2</v>
      </c>
      <c r="H10" s="493">
        <v>8.0000000000000002E-3</v>
      </c>
      <c r="I10" s="472"/>
      <c r="J10" s="472"/>
      <c r="K10" s="307">
        <v>0.01</v>
      </c>
      <c r="L10" s="371">
        <v>3.5999999999999997E-2</v>
      </c>
      <c r="M10" s="347">
        <v>3.4000000000000002E-2</v>
      </c>
      <c r="N10" s="451">
        <v>1.6E-2</v>
      </c>
      <c r="O10" s="81">
        <v>0.02</v>
      </c>
      <c r="P10" s="82">
        <v>2.7E-2</v>
      </c>
    </row>
    <row r="11" spans="2:16" ht="26.25" customHeight="1">
      <c r="B11" s="597"/>
      <c r="C11" s="579" t="s">
        <v>282</v>
      </c>
      <c r="D11" s="579"/>
      <c r="E11" s="579"/>
      <c r="F11" s="587"/>
      <c r="G11" s="308">
        <v>37441</v>
      </c>
      <c r="H11" s="494">
        <v>38975</v>
      </c>
      <c r="I11" s="471" t="s">
        <v>302</v>
      </c>
      <c r="J11" s="474" t="s">
        <v>302</v>
      </c>
      <c r="K11" s="312">
        <v>76417</v>
      </c>
      <c r="L11" s="370">
        <v>40521</v>
      </c>
      <c r="M11" s="348">
        <v>37543</v>
      </c>
      <c r="N11" s="448">
        <v>40018</v>
      </c>
      <c r="O11" s="79">
        <v>42985</v>
      </c>
      <c r="P11" s="78">
        <v>161068</v>
      </c>
    </row>
    <row r="12" spans="2:16" ht="26.25" customHeight="1">
      <c r="B12" s="597"/>
      <c r="C12" s="581"/>
      <c r="D12" s="581"/>
      <c r="E12" s="581"/>
      <c r="F12" s="589"/>
      <c r="G12" s="367" t="s">
        <v>303</v>
      </c>
      <c r="H12" s="495" t="s">
        <v>304</v>
      </c>
      <c r="I12" s="473" t="s">
        <v>302</v>
      </c>
      <c r="J12" s="472" t="s">
        <v>302</v>
      </c>
      <c r="K12" s="307" t="s">
        <v>305</v>
      </c>
      <c r="L12" s="373">
        <v>0.14399999999999999</v>
      </c>
      <c r="M12" s="349">
        <v>-0.04</v>
      </c>
      <c r="N12" s="449">
        <v>3.7999999999999999E-2</v>
      </c>
      <c r="O12" s="81">
        <v>-1.7000000000000001E-2</v>
      </c>
      <c r="P12" s="82">
        <v>2.7E-2</v>
      </c>
    </row>
    <row r="13" spans="2:16" ht="26.25" customHeight="1">
      <c r="B13" s="578" t="s">
        <v>296</v>
      </c>
      <c r="C13" s="583"/>
      <c r="D13" s="583"/>
      <c r="E13" s="583"/>
      <c r="F13" s="592"/>
      <c r="G13" s="308">
        <v>56539</v>
      </c>
      <c r="H13" s="494">
        <v>59007</v>
      </c>
      <c r="I13" s="471" t="s">
        <v>302</v>
      </c>
      <c r="J13" s="474" t="s">
        <v>302</v>
      </c>
      <c r="K13" s="312">
        <v>115546</v>
      </c>
      <c r="L13" s="370">
        <v>54437</v>
      </c>
      <c r="M13" s="348">
        <v>51911</v>
      </c>
      <c r="N13" s="79">
        <v>56730</v>
      </c>
      <c r="O13" s="79">
        <v>59951</v>
      </c>
      <c r="P13" s="78">
        <v>223030</v>
      </c>
    </row>
    <row r="14" spans="2:16" ht="26.25" customHeight="1">
      <c r="B14" s="580"/>
      <c r="C14" s="581"/>
      <c r="D14" s="581"/>
      <c r="E14" s="581"/>
      <c r="F14" s="589"/>
      <c r="G14" s="366" t="s">
        <v>306</v>
      </c>
      <c r="H14" s="495" t="s">
        <v>199</v>
      </c>
      <c r="I14" s="473" t="s">
        <v>302</v>
      </c>
      <c r="J14" s="472" t="s">
        <v>302</v>
      </c>
      <c r="K14" s="307" t="s">
        <v>307</v>
      </c>
      <c r="L14" s="371">
        <v>0.13</v>
      </c>
      <c r="M14" s="349">
        <v>3.4000000000000002E-2</v>
      </c>
      <c r="N14" s="449">
        <v>0.128</v>
      </c>
      <c r="O14" s="81">
        <v>6.3E-2</v>
      </c>
      <c r="P14" s="82">
        <v>8.7999999999999995E-2</v>
      </c>
    </row>
    <row r="15" spans="2:16" ht="26.25" customHeight="1">
      <c r="B15" s="578" t="s">
        <v>283</v>
      </c>
      <c r="C15" s="579"/>
      <c r="D15" s="579"/>
      <c r="E15" s="579"/>
      <c r="F15" s="579"/>
      <c r="G15" s="308">
        <v>3463</v>
      </c>
      <c r="H15" s="492">
        <v>2994</v>
      </c>
      <c r="I15" s="484" t="s">
        <v>302</v>
      </c>
      <c r="J15" s="470" t="s">
        <v>302</v>
      </c>
      <c r="K15" s="312">
        <v>6457</v>
      </c>
      <c r="L15" s="370">
        <v>3610</v>
      </c>
      <c r="M15" s="346">
        <v>3159</v>
      </c>
      <c r="N15" s="458">
        <v>4495</v>
      </c>
      <c r="O15" s="77">
        <v>4323</v>
      </c>
      <c r="P15" s="78">
        <v>15590</v>
      </c>
    </row>
    <row r="16" spans="2:16" ht="26.25" customHeight="1">
      <c r="B16" s="580"/>
      <c r="C16" s="581"/>
      <c r="D16" s="581"/>
      <c r="E16" s="581"/>
      <c r="F16" s="581"/>
      <c r="G16" s="366" t="s">
        <v>308</v>
      </c>
      <c r="H16" s="493" t="s">
        <v>309</v>
      </c>
      <c r="I16" s="485" t="s">
        <v>302</v>
      </c>
      <c r="J16" s="472" t="s">
        <v>302</v>
      </c>
      <c r="K16" s="307" t="s">
        <v>261</v>
      </c>
      <c r="L16" s="371" t="s">
        <v>243</v>
      </c>
      <c r="M16" s="347" t="s">
        <v>244</v>
      </c>
      <c r="N16" s="459" t="s">
        <v>245</v>
      </c>
      <c r="O16" s="81" t="s">
        <v>246</v>
      </c>
      <c r="P16" s="82" t="s">
        <v>247</v>
      </c>
    </row>
    <row r="17" spans="2:16" ht="26.25" customHeight="1">
      <c r="B17" s="582" t="s">
        <v>238</v>
      </c>
      <c r="C17" s="583"/>
      <c r="D17" s="583"/>
      <c r="E17" s="583"/>
      <c r="F17" s="583"/>
      <c r="G17" s="308">
        <v>6272</v>
      </c>
      <c r="H17" s="492">
        <v>6399</v>
      </c>
      <c r="I17" s="484" t="s">
        <v>302</v>
      </c>
      <c r="J17" s="470" t="s">
        <v>302</v>
      </c>
      <c r="K17" s="312">
        <v>12672</v>
      </c>
      <c r="L17" s="370">
        <v>5867</v>
      </c>
      <c r="M17" s="346">
        <v>6308</v>
      </c>
      <c r="N17" s="458">
        <v>6371</v>
      </c>
      <c r="O17" s="77">
        <v>6343</v>
      </c>
      <c r="P17" s="78">
        <v>24890</v>
      </c>
    </row>
    <row r="18" spans="2:16" ht="26.25" customHeight="1">
      <c r="B18" s="580"/>
      <c r="C18" s="581"/>
      <c r="D18" s="581"/>
      <c r="E18" s="581"/>
      <c r="F18" s="581"/>
      <c r="G18" s="366" t="s">
        <v>310</v>
      </c>
      <c r="H18" s="493" t="s">
        <v>227</v>
      </c>
      <c r="I18" s="485" t="s">
        <v>302</v>
      </c>
      <c r="J18" s="472" t="s">
        <v>302</v>
      </c>
      <c r="K18" s="307" t="s">
        <v>311</v>
      </c>
      <c r="L18" s="371" t="s">
        <v>248</v>
      </c>
      <c r="M18" s="347" t="s">
        <v>249</v>
      </c>
      <c r="N18" s="459" t="s">
        <v>250</v>
      </c>
      <c r="O18" s="81" t="s">
        <v>251</v>
      </c>
      <c r="P18" s="82" t="s">
        <v>252</v>
      </c>
    </row>
    <row r="19" spans="2:16" ht="26.25" customHeight="1">
      <c r="B19" s="582" t="s">
        <v>234</v>
      </c>
      <c r="C19" s="583"/>
      <c r="D19" s="583"/>
      <c r="E19" s="583"/>
      <c r="F19" s="583"/>
      <c r="G19" s="308">
        <v>66275</v>
      </c>
      <c r="H19" s="492">
        <v>68401</v>
      </c>
      <c r="I19" s="484" t="s">
        <v>302</v>
      </c>
      <c r="J19" s="470" t="s">
        <v>302</v>
      </c>
      <c r="K19" s="312">
        <v>134677</v>
      </c>
      <c r="L19" s="370">
        <v>63915</v>
      </c>
      <c r="M19" s="346">
        <v>61379</v>
      </c>
      <c r="N19" s="458">
        <v>67597</v>
      </c>
      <c r="O19" s="77">
        <v>70618</v>
      </c>
      <c r="P19" s="111">
        <v>263510</v>
      </c>
    </row>
    <row r="20" spans="2:16" ht="26.25" customHeight="1" thickBot="1">
      <c r="B20" s="584"/>
      <c r="C20" s="585"/>
      <c r="D20" s="585"/>
      <c r="E20" s="585"/>
      <c r="F20" s="585"/>
      <c r="G20" s="368" t="s">
        <v>312</v>
      </c>
      <c r="H20" s="496" t="s">
        <v>191</v>
      </c>
      <c r="I20" s="486" t="s">
        <v>302</v>
      </c>
      <c r="J20" s="477" t="s">
        <v>302</v>
      </c>
      <c r="K20" s="318" t="s">
        <v>313</v>
      </c>
      <c r="L20" s="374" t="s">
        <v>191</v>
      </c>
      <c r="M20" s="350" t="s">
        <v>253</v>
      </c>
      <c r="N20" s="460" t="s">
        <v>199</v>
      </c>
      <c r="O20" s="85" t="s">
        <v>254</v>
      </c>
      <c r="P20" s="86" t="s">
        <v>166</v>
      </c>
    </row>
    <row r="21" spans="2:16" ht="83.55" customHeight="1">
      <c r="B21" s="590" t="s">
        <v>297</v>
      </c>
      <c r="C21" s="590"/>
      <c r="D21" s="590"/>
      <c r="E21" s="590"/>
      <c r="F21" s="590"/>
      <c r="G21" s="590"/>
      <c r="H21" s="590"/>
      <c r="I21" s="590"/>
      <c r="J21" s="590"/>
      <c r="K21" s="590"/>
      <c r="L21" s="590"/>
      <c r="M21" s="590"/>
      <c r="N21" s="590"/>
      <c r="O21" s="590"/>
      <c r="P21" s="590"/>
    </row>
    <row r="22" spans="2:16" ht="23.55" customHeight="1" thickBot="1">
      <c r="B22" s="75" t="s">
        <v>97</v>
      </c>
      <c r="C22" s="75"/>
      <c r="H22" s="465"/>
      <c r="I22" s="465"/>
      <c r="J22" s="465"/>
    </row>
    <row r="23" spans="2:16" ht="26.25" customHeight="1">
      <c r="B23" s="573"/>
      <c r="C23" s="574"/>
      <c r="D23" s="575"/>
      <c r="E23" s="575"/>
      <c r="F23" s="575"/>
      <c r="G23" s="299"/>
      <c r="H23" s="466"/>
      <c r="I23" s="467">
        <v>46143</v>
      </c>
      <c r="J23" s="466"/>
      <c r="K23" s="302"/>
      <c r="L23" s="104"/>
      <c r="M23" s="67"/>
      <c r="N23" s="446">
        <v>45778</v>
      </c>
      <c r="O23" s="67"/>
      <c r="P23" s="68"/>
    </row>
    <row r="24" spans="2:16" ht="26.25" customHeight="1" thickBot="1">
      <c r="B24" s="576"/>
      <c r="C24" s="577"/>
      <c r="D24" s="577"/>
      <c r="E24" s="577"/>
      <c r="F24" s="577"/>
      <c r="G24" s="365" t="s">
        <v>53</v>
      </c>
      <c r="H24" s="497" t="s">
        <v>54</v>
      </c>
      <c r="I24" s="469" t="s">
        <v>55</v>
      </c>
      <c r="J24" s="468" t="s">
        <v>56</v>
      </c>
      <c r="K24" s="304" t="s">
        <v>57</v>
      </c>
      <c r="L24" s="106" t="s">
        <v>53</v>
      </c>
      <c r="M24" s="500" t="s">
        <v>54</v>
      </c>
      <c r="N24" s="447" t="s">
        <v>55</v>
      </c>
      <c r="O24" s="69" t="s">
        <v>56</v>
      </c>
      <c r="P24" s="73" t="s">
        <v>57</v>
      </c>
    </row>
    <row r="25" spans="2:16" s="71" customFormat="1" ht="26.25" customHeight="1">
      <c r="B25" s="578" t="s">
        <v>296</v>
      </c>
      <c r="C25" s="579"/>
      <c r="D25" s="579"/>
      <c r="E25" s="579"/>
      <c r="F25" s="579"/>
      <c r="G25" s="308">
        <v>21159</v>
      </c>
      <c r="H25" s="498">
        <v>21539</v>
      </c>
      <c r="I25" s="471" t="s">
        <v>302</v>
      </c>
      <c r="J25" s="470" t="s">
        <v>302</v>
      </c>
      <c r="K25" s="311">
        <v>42699</v>
      </c>
      <c r="L25" s="70">
        <v>21997</v>
      </c>
      <c r="M25" s="351">
        <v>19233</v>
      </c>
      <c r="N25" s="448">
        <v>21966</v>
      </c>
      <c r="O25" s="77">
        <v>22474</v>
      </c>
      <c r="P25" s="78">
        <v>85673</v>
      </c>
    </row>
    <row r="26" spans="2:16" s="71" customFormat="1" ht="26.25" customHeight="1">
      <c r="B26" s="580"/>
      <c r="C26" s="581"/>
      <c r="D26" s="581"/>
      <c r="E26" s="581"/>
      <c r="F26" s="581"/>
      <c r="G26" s="366" t="s">
        <v>314</v>
      </c>
      <c r="H26" s="495" t="s">
        <v>315</v>
      </c>
      <c r="I26" s="473" t="s">
        <v>302</v>
      </c>
      <c r="J26" s="472" t="s">
        <v>302</v>
      </c>
      <c r="K26" s="307" t="s">
        <v>316</v>
      </c>
      <c r="L26" s="107" t="s">
        <v>255</v>
      </c>
      <c r="M26" s="349" t="s">
        <v>256</v>
      </c>
      <c r="N26" s="449" t="s">
        <v>257</v>
      </c>
      <c r="O26" s="81" t="s">
        <v>258</v>
      </c>
      <c r="P26" s="82" t="s">
        <v>200</v>
      </c>
    </row>
    <row r="27" spans="2:16" s="71" customFormat="1" ht="26.25" customHeight="1">
      <c r="B27" s="602" t="s">
        <v>283</v>
      </c>
      <c r="C27" s="603"/>
      <c r="D27" s="603"/>
      <c r="E27" s="603"/>
      <c r="F27" s="603"/>
      <c r="G27" s="375">
        <v>124</v>
      </c>
      <c r="H27" s="494">
        <v>99</v>
      </c>
      <c r="I27" s="474" t="s">
        <v>302</v>
      </c>
      <c r="J27" s="474" t="s">
        <v>302</v>
      </c>
      <c r="K27" s="311">
        <v>223</v>
      </c>
      <c r="L27" s="379">
        <v>134</v>
      </c>
      <c r="M27" s="348">
        <v>106</v>
      </c>
      <c r="N27" s="450">
        <v>150</v>
      </c>
      <c r="O27" s="79">
        <v>177</v>
      </c>
      <c r="P27" s="87">
        <v>569</v>
      </c>
    </row>
    <row r="28" spans="2:16" s="71" customFormat="1" ht="26.25" customHeight="1">
      <c r="B28" s="604"/>
      <c r="C28" s="605"/>
      <c r="D28" s="605"/>
      <c r="E28" s="605"/>
      <c r="F28" s="605"/>
      <c r="G28" s="367" t="s">
        <v>317</v>
      </c>
      <c r="H28" s="495" t="s">
        <v>318</v>
      </c>
      <c r="I28" s="472" t="s">
        <v>302</v>
      </c>
      <c r="J28" s="472" t="s">
        <v>302</v>
      </c>
      <c r="K28" s="319" t="s">
        <v>319</v>
      </c>
      <c r="L28" s="380" t="s">
        <v>259</v>
      </c>
      <c r="M28" s="349" t="s">
        <v>260</v>
      </c>
      <c r="N28" s="451" t="s">
        <v>261</v>
      </c>
      <c r="O28" s="81" t="s">
        <v>262</v>
      </c>
      <c r="P28" s="88" t="s">
        <v>263</v>
      </c>
    </row>
    <row r="29" spans="2:16" s="71" customFormat="1" ht="26.25" customHeight="1">
      <c r="B29" s="602" t="s">
        <v>95</v>
      </c>
      <c r="C29" s="603"/>
      <c r="D29" s="603"/>
      <c r="E29" s="603"/>
      <c r="F29" s="603"/>
      <c r="G29" s="375">
        <v>1350</v>
      </c>
      <c r="H29" s="494">
        <v>1569</v>
      </c>
      <c r="I29" s="474" t="s">
        <v>302</v>
      </c>
      <c r="J29" s="474" t="s">
        <v>302</v>
      </c>
      <c r="K29" s="562">
        <v>2919</v>
      </c>
      <c r="L29" s="379">
        <v>1302</v>
      </c>
      <c r="M29" s="348">
        <v>1428</v>
      </c>
      <c r="N29" s="450">
        <v>1421</v>
      </c>
      <c r="O29" s="79">
        <v>1691</v>
      </c>
      <c r="P29" s="87">
        <v>5844</v>
      </c>
    </row>
    <row r="30" spans="2:16" s="71" customFormat="1" ht="26.25" customHeight="1">
      <c r="B30" s="604"/>
      <c r="C30" s="605"/>
      <c r="D30" s="605"/>
      <c r="E30" s="605"/>
      <c r="F30" s="605"/>
      <c r="G30" s="367" t="s">
        <v>316</v>
      </c>
      <c r="H30" s="495" t="s">
        <v>320</v>
      </c>
      <c r="I30" s="472" t="s">
        <v>302</v>
      </c>
      <c r="J30" s="472" t="s">
        <v>302</v>
      </c>
      <c r="K30" s="563" t="s">
        <v>310</v>
      </c>
      <c r="L30" s="380" t="s">
        <v>264</v>
      </c>
      <c r="M30" s="349" t="s">
        <v>265</v>
      </c>
      <c r="N30" s="451" t="s">
        <v>266</v>
      </c>
      <c r="O30" s="81" t="s">
        <v>267</v>
      </c>
      <c r="P30" s="88" t="s">
        <v>268</v>
      </c>
    </row>
    <row r="31" spans="2:16" ht="26.25" customHeight="1">
      <c r="B31" s="582" t="s">
        <v>101</v>
      </c>
      <c r="C31" s="583"/>
      <c r="D31" s="583"/>
      <c r="E31" s="583"/>
      <c r="F31" s="583"/>
      <c r="G31" s="376">
        <v>-1505</v>
      </c>
      <c r="H31" s="552">
        <v>-1677</v>
      </c>
      <c r="I31" s="475" t="s">
        <v>302</v>
      </c>
      <c r="J31" s="475" t="s">
        <v>302</v>
      </c>
      <c r="K31" s="564">
        <v>-3183</v>
      </c>
      <c r="L31" s="381">
        <v>-1241</v>
      </c>
      <c r="M31" s="352">
        <v>-1049</v>
      </c>
      <c r="N31" s="452">
        <v>-1232</v>
      </c>
      <c r="O31" s="96">
        <v>-1731</v>
      </c>
      <c r="P31" s="97">
        <v>-5255</v>
      </c>
    </row>
    <row r="32" spans="2:16" ht="26.25" customHeight="1">
      <c r="B32" s="580"/>
      <c r="C32" s="581"/>
      <c r="D32" s="581"/>
      <c r="E32" s="581"/>
      <c r="F32" s="581"/>
      <c r="G32" s="377" t="s">
        <v>321</v>
      </c>
      <c r="H32" s="553" t="s">
        <v>322</v>
      </c>
      <c r="I32" s="476" t="s">
        <v>302</v>
      </c>
      <c r="J32" s="476" t="s">
        <v>302</v>
      </c>
      <c r="K32" s="565" t="s">
        <v>323</v>
      </c>
      <c r="L32" s="382" t="s">
        <v>269</v>
      </c>
      <c r="M32" s="353" t="s">
        <v>270</v>
      </c>
      <c r="N32" s="453" t="s">
        <v>271</v>
      </c>
      <c r="O32" s="83" t="s">
        <v>272</v>
      </c>
      <c r="P32" s="89" t="s">
        <v>273</v>
      </c>
    </row>
    <row r="33" spans="1:16" ht="26.25" customHeight="1">
      <c r="B33" s="582" t="s">
        <v>96</v>
      </c>
      <c r="C33" s="583"/>
      <c r="D33" s="583"/>
      <c r="E33" s="583"/>
      <c r="F33" s="583"/>
      <c r="G33" s="375">
        <v>21128</v>
      </c>
      <c r="H33" s="494">
        <v>21531</v>
      </c>
      <c r="I33" s="474" t="s">
        <v>302</v>
      </c>
      <c r="J33" s="474" t="s">
        <v>302</v>
      </c>
      <c r="K33" s="566">
        <v>42659</v>
      </c>
      <c r="L33" s="379">
        <v>22194</v>
      </c>
      <c r="M33" s="348">
        <v>19718</v>
      </c>
      <c r="N33" s="450">
        <v>22306</v>
      </c>
      <c r="O33" s="79">
        <v>22612</v>
      </c>
      <c r="P33" s="87">
        <v>86832</v>
      </c>
    </row>
    <row r="34" spans="1:16" s="71" customFormat="1" ht="26.25" customHeight="1" thickBot="1">
      <c r="B34" s="584"/>
      <c r="C34" s="585"/>
      <c r="D34" s="585"/>
      <c r="E34" s="585"/>
      <c r="F34" s="585"/>
      <c r="G34" s="378" t="s">
        <v>324</v>
      </c>
      <c r="H34" s="554" t="s">
        <v>325</v>
      </c>
      <c r="I34" s="477" t="s">
        <v>302</v>
      </c>
      <c r="J34" s="477" t="s">
        <v>302</v>
      </c>
      <c r="K34" s="567" t="s">
        <v>326</v>
      </c>
      <c r="L34" s="383" t="s">
        <v>274</v>
      </c>
      <c r="M34" s="354" t="s">
        <v>275</v>
      </c>
      <c r="N34" s="454" t="s">
        <v>276</v>
      </c>
      <c r="O34" s="85" t="s">
        <v>277</v>
      </c>
      <c r="P34" s="90" t="s">
        <v>278</v>
      </c>
    </row>
    <row r="35" spans="1:16" ht="50.25" customHeight="1" thickBot="1">
      <c r="A35" s="91"/>
      <c r="B35" s="92" t="s">
        <v>99</v>
      </c>
      <c r="C35" s="92"/>
      <c r="D35" s="91"/>
      <c r="E35" s="91"/>
      <c r="F35" s="91"/>
      <c r="I35" s="445"/>
      <c r="N35" s="445"/>
    </row>
    <row r="36" spans="1:16" ht="28.5" customHeight="1">
      <c r="A36" s="91"/>
      <c r="B36" s="598"/>
      <c r="C36" s="599"/>
      <c r="D36" s="599"/>
      <c r="E36" s="599"/>
      <c r="F36" s="599"/>
      <c r="G36" s="299"/>
      <c r="H36" s="478"/>
      <c r="I36" s="479">
        <v>46143</v>
      </c>
      <c r="J36" s="478"/>
      <c r="K36" s="302"/>
      <c r="L36" s="74"/>
      <c r="M36" s="104"/>
      <c r="N36" s="446">
        <v>45778</v>
      </c>
      <c r="O36" s="104"/>
      <c r="P36" s="68"/>
    </row>
    <row r="37" spans="1:16" ht="28.5" customHeight="1" thickBot="1">
      <c r="A37" s="91"/>
      <c r="B37" s="600"/>
      <c r="C37" s="601"/>
      <c r="D37" s="601"/>
      <c r="E37" s="601"/>
      <c r="F37" s="601"/>
      <c r="G37" s="365" t="s">
        <v>53</v>
      </c>
      <c r="H37" s="497" t="s">
        <v>54</v>
      </c>
      <c r="I37" s="469" t="s">
        <v>55</v>
      </c>
      <c r="J37" s="468" t="s">
        <v>56</v>
      </c>
      <c r="K37" s="304" t="s">
        <v>57</v>
      </c>
      <c r="L37" s="369" t="s">
        <v>53</v>
      </c>
      <c r="M37" s="500" t="s">
        <v>54</v>
      </c>
      <c r="N37" s="447" t="s">
        <v>55</v>
      </c>
      <c r="O37" s="69" t="s">
        <v>56</v>
      </c>
      <c r="P37" s="73" t="s">
        <v>57</v>
      </c>
    </row>
    <row r="38" spans="1:16" ht="33.75" customHeight="1">
      <c r="A38" s="91"/>
      <c r="B38" s="95" t="s">
        <v>98</v>
      </c>
      <c r="C38" s="206"/>
      <c r="D38" s="93"/>
      <c r="E38" s="93"/>
      <c r="F38" s="108"/>
      <c r="G38" s="384">
        <v>26151</v>
      </c>
      <c r="H38" s="499">
        <v>27381</v>
      </c>
      <c r="I38" s="481" t="s">
        <v>302</v>
      </c>
      <c r="J38" s="480" t="s">
        <v>302</v>
      </c>
      <c r="K38" s="568">
        <v>53533</v>
      </c>
      <c r="L38" s="386">
        <v>24089</v>
      </c>
      <c r="M38" s="362">
        <v>23342</v>
      </c>
      <c r="N38" s="455">
        <v>25684</v>
      </c>
      <c r="O38" s="94">
        <v>27235</v>
      </c>
      <c r="P38" s="109">
        <v>100350</v>
      </c>
    </row>
    <row r="39" spans="1:16" ht="33.75" customHeight="1">
      <c r="A39" s="91"/>
      <c r="B39" s="95" t="s">
        <v>284</v>
      </c>
      <c r="C39" s="206"/>
      <c r="D39" s="93"/>
      <c r="E39" s="93"/>
      <c r="F39" s="108"/>
      <c r="G39" s="384">
        <v>3014</v>
      </c>
      <c r="H39" s="499">
        <v>2641</v>
      </c>
      <c r="I39" s="481" t="s">
        <v>302</v>
      </c>
      <c r="J39" s="480" t="s">
        <v>302</v>
      </c>
      <c r="K39" s="568">
        <v>5655</v>
      </c>
      <c r="L39" s="386">
        <v>3093</v>
      </c>
      <c r="M39" s="362">
        <v>2672</v>
      </c>
      <c r="N39" s="455">
        <v>3907</v>
      </c>
      <c r="O39" s="94">
        <v>3738</v>
      </c>
      <c r="P39" s="109">
        <v>13412</v>
      </c>
    </row>
    <row r="40" spans="1:16" ht="33.75" customHeight="1">
      <c r="A40" s="91"/>
      <c r="B40" s="95" t="s">
        <v>142</v>
      </c>
      <c r="C40" s="206"/>
      <c r="D40" s="93"/>
      <c r="E40" s="93"/>
      <c r="F40" s="108"/>
      <c r="G40" s="384">
        <v>8505</v>
      </c>
      <c r="H40" s="499">
        <v>8945</v>
      </c>
      <c r="I40" s="481" t="s">
        <v>302</v>
      </c>
      <c r="J40" s="480" t="s">
        <v>302</v>
      </c>
      <c r="K40" s="568">
        <v>17451</v>
      </c>
      <c r="L40" s="386">
        <v>7637</v>
      </c>
      <c r="M40" s="362">
        <v>8102</v>
      </c>
      <c r="N40" s="455">
        <v>8820</v>
      </c>
      <c r="O40" s="94">
        <v>8682</v>
      </c>
      <c r="P40" s="109">
        <v>33241</v>
      </c>
    </row>
    <row r="41" spans="1:16" ht="33.75" customHeight="1">
      <c r="A41" s="91"/>
      <c r="B41" s="95" t="s">
        <v>140</v>
      </c>
      <c r="C41" s="206"/>
      <c r="D41" s="93"/>
      <c r="E41" s="93"/>
      <c r="F41" s="108"/>
      <c r="G41" s="384">
        <v>5516</v>
      </c>
      <c r="H41" s="499">
        <v>5991</v>
      </c>
      <c r="I41" s="481" t="s">
        <v>302</v>
      </c>
      <c r="J41" s="480" t="s">
        <v>302</v>
      </c>
      <c r="K41" s="568">
        <v>11508</v>
      </c>
      <c r="L41" s="386">
        <v>4910</v>
      </c>
      <c r="M41" s="362">
        <v>5694</v>
      </c>
      <c r="N41" s="455">
        <v>4797</v>
      </c>
      <c r="O41" s="94">
        <v>6192</v>
      </c>
      <c r="P41" s="109">
        <v>21595</v>
      </c>
    </row>
    <row r="42" spans="1:16" ht="33.75" customHeight="1">
      <c r="A42" s="91"/>
      <c r="B42" s="95" t="s">
        <v>83</v>
      </c>
      <c r="C42" s="206"/>
      <c r="D42" s="93"/>
      <c r="E42" s="93"/>
      <c r="F42" s="108"/>
      <c r="G42" s="384">
        <v>601</v>
      </c>
      <c r="H42" s="499">
        <v>531</v>
      </c>
      <c r="I42" s="481" t="s">
        <v>302</v>
      </c>
      <c r="J42" s="480" t="s">
        <v>302</v>
      </c>
      <c r="K42" s="568">
        <v>1132</v>
      </c>
      <c r="L42" s="386">
        <v>526</v>
      </c>
      <c r="M42" s="362">
        <v>547</v>
      </c>
      <c r="N42" s="455">
        <v>548</v>
      </c>
      <c r="O42" s="94">
        <v>604</v>
      </c>
      <c r="P42" s="109">
        <v>2227</v>
      </c>
    </row>
    <row r="43" spans="1:16" ht="33.75" customHeight="1">
      <c r="A43" s="91"/>
      <c r="B43" s="95" t="s">
        <v>141</v>
      </c>
      <c r="C43" s="206"/>
      <c r="D43" s="93"/>
      <c r="E43" s="93"/>
      <c r="F43" s="108"/>
      <c r="G43" s="384">
        <v>1357</v>
      </c>
      <c r="H43" s="499">
        <v>1378</v>
      </c>
      <c r="I43" s="481"/>
      <c r="J43" s="480" t="s">
        <v>302</v>
      </c>
      <c r="K43" s="568">
        <v>2736</v>
      </c>
      <c r="L43" s="386">
        <v>1463</v>
      </c>
      <c r="M43" s="362">
        <v>1301</v>
      </c>
      <c r="N43" s="455">
        <v>1532</v>
      </c>
      <c r="O43" s="94">
        <v>1552</v>
      </c>
      <c r="P43" s="109">
        <v>5850</v>
      </c>
    </row>
    <row r="44" spans="1:16" ht="33.75" customHeight="1" thickBot="1">
      <c r="A44" s="91"/>
      <c r="B44" s="98" t="s">
        <v>52</v>
      </c>
      <c r="C44" s="207"/>
      <c r="D44" s="99"/>
      <c r="E44" s="331"/>
      <c r="F44" s="332"/>
      <c r="G44" s="385">
        <v>45147</v>
      </c>
      <c r="H44" s="555">
        <v>46870</v>
      </c>
      <c r="I44" s="483" t="s">
        <v>302</v>
      </c>
      <c r="J44" s="482" t="s">
        <v>302</v>
      </c>
      <c r="K44" s="569">
        <v>92018</v>
      </c>
      <c r="L44" s="387">
        <v>41721</v>
      </c>
      <c r="M44" s="363">
        <v>41660</v>
      </c>
      <c r="N44" s="456">
        <v>45290</v>
      </c>
      <c r="O44" s="100">
        <v>48006</v>
      </c>
      <c r="P44" s="110">
        <v>176678</v>
      </c>
    </row>
    <row r="45" spans="1:16">
      <c r="B45" s="61" t="s">
        <v>82</v>
      </c>
      <c r="C45" s="61"/>
      <c r="N45" s="445"/>
    </row>
    <row r="46" spans="1:16" ht="15.4" customHeight="1" thickBot="1">
      <c r="A46" s="91"/>
      <c r="B46" s="92"/>
      <c r="C46" s="92"/>
      <c r="D46" s="91"/>
      <c r="E46" s="91"/>
      <c r="F46" s="91"/>
    </row>
    <row r="47" spans="1:16" ht="28.5" customHeight="1">
      <c r="A47" s="91"/>
      <c r="B47" s="598"/>
      <c r="C47" s="599"/>
      <c r="D47" s="599"/>
      <c r="E47" s="599"/>
      <c r="F47" s="599"/>
      <c r="G47" s="299"/>
      <c r="H47" s="325"/>
      <c r="I47" s="301">
        <v>46143</v>
      </c>
      <c r="J47" s="325"/>
      <c r="K47" s="302"/>
      <c r="L47" s="74"/>
      <c r="M47" s="104"/>
      <c r="N47" s="72">
        <v>45778</v>
      </c>
      <c r="O47" s="104"/>
      <c r="P47" s="68"/>
    </row>
    <row r="48" spans="1:16" ht="28.5" customHeight="1" thickBot="1">
      <c r="A48" s="91"/>
      <c r="B48" s="600"/>
      <c r="C48" s="601"/>
      <c r="D48" s="601"/>
      <c r="E48" s="601"/>
      <c r="F48" s="601"/>
      <c r="G48" s="365" t="s">
        <v>53</v>
      </c>
      <c r="H48" s="491" t="s">
        <v>54</v>
      </c>
      <c r="I48" s="444" t="s">
        <v>55</v>
      </c>
      <c r="J48" s="303" t="s">
        <v>56</v>
      </c>
      <c r="K48" s="304"/>
      <c r="L48" s="369" t="s">
        <v>53</v>
      </c>
      <c r="M48" s="500" t="s">
        <v>54</v>
      </c>
      <c r="N48" s="447" t="s">
        <v>55</v>
      </c>
      <c r="O48" s="69" t="s">
        <v>56</v>
      </c>
      <c r="P48" s="73"/>
    </row>
    <row r="49" spans="1:16" ht="33.75" customHeight="1" thickBot="1">
      <c r="A49" s="91"/>
      <c r="B49" s="333" t="s">
        <v>233</v>
      </c>
      <c r="C49" s="334"/>
      <c r="D49" s="335"/>
      <c r="E49" s="335"/>
      <c r="F49" s="336"/>
      <c r="G49" s="388">
        <v>2270</v>
      </c>
      <c r="H49" s="361">
        <v>2236</v>
      </c>
      <c r="I49" s="461"/>
      <c r="J49" s="337"/>
      <c r="K49" s="338" t="s">
        <v>19</v>
      </c>
      <c r="L49" s="389">
        <v>2245</v>
      </c>
      <c r="M49" s="364">
        <v>2254</v>
      </c>
      <c r="N49" s="462">
        <v>2250</v>
      </c>
      <c r="O49" s="339">
        <v>2258</v>
      </c>
      <c r="P49" s="338" t="s">
        <v>19</v>
      </c>
    </row>
    <row r="50" spans="1:16">
      <c r="N50" s="445"/>
    </row>
  </sheetData>
  <mergeCells count="20">
    <mergeCell ref="B47:F48"/>
    <mergeCell ref="B36:F37"/>
    <mergeCell ref="B27:F28"/>
    <mergeCell ref="B23:F24"/>
    <mergeCell ref="B33:F34"/>
    <mergeCell ref="B31:F32"/>
    <mergeCell ref="B29:F30"/>
    <mergeCell ref="B3:F4"/>
    <mergeCell ref="B25:F26"/>
    <mergeCell ref="B19:F20"/>
    <mergeCell ref="B17:F18"/>
    <mergeCell ref="B15:F16"/>
    <mergeCell ref="D9:F10"/>
    <mergeCell ref="B21:P21"/>
    <mergeCell ref="D7:F8"/>
    <mergeCell ref="C7:C10"/>
    <mergeCell ref="C11:F12"/>
    <mergeCell ref="B13:F14"/>
    <mergeCell ref="C5:F6"/>
    <mergeCell ref="B5:B12"/>
  </mergeCells>
  <phoneticPr fontId="2"/>
  <printOptions horizontalCentered="1" verticalCentered="1"/>
  <pageMargins left="0.23622047244094499" right="0.196850393700787" top="0.27559055118110198" bottom="0.31496062992126" header="0.511811023622047" footer="0.15748031496063"/>
  <pageSetup paperSize="9" scale="39" orientation="landscape" r:id="rId1"/>
  <headerFooter alignWithMargins="0"/>
  <rowBreaks count="1" manualBreakCount="1">
    <brk id="10" max="16383" man="1"/>
  </rowBreaks>
  <ignoredErrors>
    <ignoredError sqref="B5:P20 B25:P3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57" zoomScaleNormal="75" zoomScaleSheetLayoutView="57" workbookViewId="0"/>
  </sheetViews>
  <sheetFormatPr defaultColWidth="8.59765625" defaultRowHeight="20.25" customHeight="1"/>
  <cols>
    <col min="1" max="1" width="2.59765625" style="13" customWidth="1"/>
    <col min="2" max="2" width="3.59765625" style="14" customWidth="1"/>
    <col min="3" max="3" width="42.86328125" style="13" customWidth="1"/>
    <col min="4" max="4" width="82.86328125" style="13" customWidth="1"/>
    <col min="5" max="5" width="6" style="13" customWidth="1"/>
    <col min="6" max="10" width="11.59765625" style="13" customWidth="1"/>
    <col min="11" max="11" width="3.59765625" style="13" customWidth="1"/>
    <col min="12" max="16384" width="8.59765625" style="13"/>
  </cols>
  <sheetData>
    <row r="1" spans="1:12" ht="21.75" customHeight="1">
      <c r="A1" s="9"/>
      <c r="B1" s="10" t="s">
        <v>236</v>
      </c>
      <c r="C1" s="11"/>
      <c r="D1" s="11"/>
      <c r="E1" s="12"/>
      <c r="F1" s="12"/>
      <c r="G1" s="12"/>
      <c r="H1" s="12"/>
      <c r="I1" s="12"/>
      <c r="J1" s="12"/>
      <c r="K1" s="12"/>
      <c r="L1" s="12"/>
    </row>
    <row r="3" spans="1:12" ht="20.25" customHeight="1">
      <c r="B3" s="14" t="s">
        <v>59</v>
      </c>
      <c r="C3" s="13" t="s">
        <v>8</v>
      </c>
      <c r="D3" s="13" t="s">
        <v>9</v>
      </c>
      <c r="E3" s="13" t="s">
        <v>289</v>
      </c>
      <c r="L3" s="15"/>
    </row>
    <row r="4" spans="1:12" ht="23.55" customHeight="1">
      <c r="C4" s="13" t="s">
        <v>60</v>
      </c>
      <c r="D4" s="13" t="s">
        <v>61</v>
      </c>
      <c r="E4" s="13" t="s">
        <v>287</v>
      </c>
      <c r="L4" s="15" t="s">
        <v>31</v>
      </c>
    </row>
    <row r="6" spans="1:12" ht="20.25" customHeight="1">
      <c r="B6" s="14" t="s">
        <v>62</v>
      </c>
      <c r="C6" s="13" t="s">
        <v>10</v>
      </c>
      <c r="D6" s="13" t="s">
        <v>32</v>
      </c>
    </row>
    <row r="7" spans="1:12" ht="21.75">
      <c r="C7" s="13" t="s">
        <v>63</v>
      </c>
      <c r="D7" s="13" t="s">
        <v>64</v>
      </c>
    </row>
    <row r="9" spans="1:12" ht="20.25" customHeight="1">
      <c r="B9" s="14" t="s">
        <v>65</v>
      </c>
      <c r="C9" s="13" t="s">
        <v>7</v>
      </c>
      <c r="D9" s="113">
        <v>25248</v>
      </c>
    </row>
    <row r="10" spans="1:12" ht="20.25" customHeight="1">
      <c r="C10" s="13" t="s">
        <v>66</v>
      </c>
      <c r="D10" s="62"/>
    </row>
    <row r="12" spans="1:12" ht="20.25" customHeight="1">
      <c r="B12" s="14" t="s">
        <v>67</v>
      </c>
      <c r="C12" s="13" t="s">
        <v>84</v>
      </c>
      <c r="D12" s="13" t="s">
        <v>138</v>
      </c>
    </row>
    <row r="13" spans="1:12" ht="20.25" customHeight="1">
      <c r="C13" s="13" t="s">
        <v>156</v>
      </c>
      <c r="D13" s="13" t="s">
        <v>139</v>
      </c>
    </row>
    <row r="15" spans="1:12" ht="20.25" customHeight="1">
      <c r="B15" s="14" t="s">
        <v>68</v>
      </c>
      <c r="C15" s="13" t="s">
        <v>11</v>
      </c>
      <c r="D15" s="114">
        <v>2236</v>
      </c>
      <c r="E15" s="13" t="s">
        <v>288</v>
      </c>
    </row>
    <row r="16" spans="1:12" ht="20.25" customHeight="1">
      <c r="C16" s="13" t="s">
        <v>69</v>
      </c>
      <c r="D16" s="22"/>
    </row>
    <row r="18" spans="2:6" ht="20.25" customHeight="1">
      <c r="B18" s="14" t="s">
        <v>70</v>
      </c>
      <c r="C18" s="13" t="s">
        <v>12</v>
      </c>
      <c r="D18" s="16" t="s">
        <v>90</v>
      </c>
    </row>
    <row r="19" spans="2:6" ht="20.25" customHeight="1">
      <c r="C19" s="13" t="s">
        <v>71</v>
      </c>
      <c r="D19" s="16" t="s">
        <v>91</v>
      </c>
    </row>
    <row r="20" spans="2:6" ht="21.75">
      <c r="D20" s="16" t="s">
        <v>92</v>
      </c>
      <c r="E20" s="14"/>
    </row>
    <row r="21" spans="2:6" ht="21.75" customHeight="1">
      <c r="D21" s="16" t="s">
        <v>93</v>
      </c>
    </row>
    <row r="22" spans="2:6" ht="20.25" customHeight="1">
      <c r="D22" s="13" t="s">
        <v>94</v>
      </c>
    </row>
    <row r="24" spans="2:6" ht="20.25" customHeight="1">
      <c r="B24" s="14" t="s">
        <v>59</v>
      </c>
      <c r="C24" s="13" t="s">
        <v>15</v>
      </c>
      <c r="D24" s="13" t="s">
        <v>33</v>
      </c>
    </row>
    <row r="25" spans="2:6" ht="20.25" customHeight="1">
      <c r="C25" s="13" t="s">
        <v>72</v>
      </c>
      <c r="D25" s="13" t="s">
        <v>73</v>
      </c>
    </row>
    <row r="26" spans="2:6" ht="20.25" customHeight="1">
      <c r="B26" s="13"/>
    </row>
    <row r="27" spans="2:6" ht="20.25" customHeight="1">
      <c r="D27" s="14" t="s">
        <v>300</v>
      </c>
      <c r="F27" s="7"/>
    </row>
    <row r="41" spans="6:10" ht="20.25" customHeight="1">
      <c r="F41" s="1"/>
      <c r="G41" s="1"/>
    </row>
    <row r="42" spans="6:10" ht="20.25" customHeight="1">
      <c r="F42" s="1"/>
      <c r="G42" s="1"/>
    </row>
    <row r="43" spans="6:10" ht="20.25" customHeight="1">
      <c r="F43" s="1"/>
      <c r="G43" s="1"/>
    </row>
    <row r="45" spans="6:10" ht="20.25" customHeight="1">
      <c r="H45" s="1"/>
      <c r="I45" s="1"/>
      <c r="J45" s="1"/>
    </row>
    <row r="46" spans="6:10" ht="20.25" customHeight="1">
      <c r="H46" s="1"/>
      <c r="I46" s="1"/>
      <c r="J46" s="1"/>
    </row>
    <row r="47" spans="6:10" ht="20.25" customHeight="1">
      <c r="H47" s="1"/>
      <c r="I47" s="1"/>
      <c r="J47" s="1"/>
    </row>
    <row r="49" spans="2:2" ht="20.25" customHeight="1">
      <c r="B49" s="13"/>
    </row>
    <row r="50" spans="2:2" ht="20.25" customHeight="1">
      <c r="B50" s="13"/>
    </row>
    <row r="51" spans="2:2" ht="20.25" customHeight="1">
      <c r="B51" s="13"/>
    </row>
  </sheetData>
  <phoneticPr fontId="2"/>
  <printOptions horizontalCentered="1" verticalCentered="1"/>
  <pageMargins left="0.23622047244094499" right="0.196850393700787" top="0.27559055118110198" bottom="0.31496062992126" header="0.511811023622047" footer="0.15748031496063"/>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BB57-0CFD-4C7B-B26C-9F5AFC791BCB}">
  <sheetPr>
    <pageSetUpPr fitToPage="1"/>
  </sheetPr>
  <dimension ref="A1:U49"/>
  <sheetViews>
    <sheetView view="pageBreakPreview" zoomScale="47" zoomScaleNormal="55" zoomScaleSheetLayoutView="47" workbookViewId="0">
      <pane xSplit="6" ySplit="4" topLeftCell="G5" activePane="bottomRight" state="frozen"/>
      <selection pane="topRight"/>
      <selection pane="bottomLeft"/>
      <selection pane="bottomRight"/>
    </sheetView>
  </sheetViews>
  <sheetFormatPr defaultColWidth="9" defaultRowHeight="22.15"/>
  <cols>
    <col min="1" max="1" width="2.59765625" style="66" customWidth="1"/>
    <col min="2" max="5" width="3.86328125" style="66" customWidth="1"/>
    <col min="6" max="6" width="80.3984375" style="66" customWidth="1"/>
    <col min="7" max="16" width="18.1328125" style="66" customWidth="1"/>
    <col min="17" max="17" width="4.3984375" style="66" customWidth="1"/>
    <col min="18" max="21" width="9" style="66" hidden="1" customWidth="1"/>
    <col min="22" max="22" width="9" style="66"/>
    <col min="23" max="24" width="18.1328125" style="66" bestFit="1" customWidth="1"/>
    <col min="25" max="16384" width="9" style="66"/>
  </cols>
  <sheetData>
    <row r="1" spans="2:16" s="63" customFormat="1" ht="23.25" customHeight="1">
      <c r="B1" s="64" t="s">
        <v>235</v>
      </c>
      <c r="C1" s="64"/>
      <c r="D1" s="64"/>
      <c r="E1" s="64"/>
      <c r="F1" s="64"/>
      <c r="G1" s="64"/>
      <c r="H1" s="64"/>
      <c r="I1" s="103"/>
      <c r="J1" s="103"/>
      <c r="K1" s="103"/>
      <c r="L1" s="103"/>
      <c r="M1" s="103"/>
      <c r="N1" s="103"/>
      <c r="O1" s="103"/>
      <c r="P1" s="65"/>
    </row>
    <row r="2" spans="2:16" ht="30.75" customHeight="1" thickBot="1">
      <c r="B2" s="75" t="s">
        <v>237</v>
      </c>
      <c r="C2" s="75"/>
      <c r="D2" s="70"/>
      <c r="E2" s="70"/>
      <c r="F2" s="70"/>
      <c r="G2" s="144" t="str">
        <f>_EPRCS_VU_e4cff6d0_958f_4039_879c_2b8900534e35</f>
        <v>Q2</v>
      </c>
      <c r="H2" s="70"/>
      <c r="I2" s="70"/>
      <c r="J2" s="70"/>
      <c r="K2" s="70"/>
      <c r="L2" s="70"/>
      <c r="M2" s="70"/>
      <c r="N2" s="70"/>
      <c r="O2" s="70"/>
      <c r="P2" s="70" t="s">
        <v>157</v>
      </c>
    </row>
    <row r="3" spans="2:16" ht="24.75" customHeight="1">
      <c r="B3" s="573"/>
      <c r="C3" s="574"/>
      <c r="D3" s="575"/>
      <c r="E3" s="575"/>
      <c r="F3" s="575"/>
      <c r="G3" s="299"/>
      <c r="H3" s="300"/>
      <c r="I3" s="301">
        <v>45778</v>
      </c>
      <c r="J3" s="300"/>
      <c r="K3" s="302"/>
      <c r="L3" s="74"/>
      <c r="M3" s="67"/>
      <c r="N3" s="72">
        <v>45413</v>
      </c>
      <c r="O3" s="67"/>
      <c r="P3" s="68"/>
    </row>
    <row r="4" spans="2:16" ht="24.75" customHeight="1" thickBot="1">
      <c r="B4" s="576"/>
      <c r="C4" s="577"/>
      <c r="D4" s="577"/>
      <c r="E4" s="577"/>
      <c r="F4" s="577"/>
      <c r="G4" s="365" t="s">
        <v>53</v>
      </c>
      <c r="H4" s="303" t="s">
        <v>54</v>
      </c>
      <c r="I4" s="391" t="s">
        <v>55</v>
      </c>
      <c r="J4" s="303" t="s">
        <v>56</v>
      </c>
      <c r="K4" s="304" t="s">
        <v>57</v>
      </c>
      <c r="L4" s="369" t="s">
        <v>53</v>
      </c>
      <c r="M4" s="69" t="s">
        <v>54</v>
      </c>
      <c r="N4" s="393" t="s">
        <v>55</v>
      </c>
      <c r="O4" s="69" t="s">
        <v>56</v>
      </c>
      <c r="P4" s="73" t="s">
        <v>57</v>
      </c>
    </row>
    <row r="5" spans="2:16" ht="26.25" customHeight="1">
      <c r="B5" s="606"/>
      <c r="C5" s="607"/>
      <c r="D5" s="586" t="s">
        <v>179</v>
      </c>
      <c r="E5" s="579"/>
      <c r="F5" s="587"/>
      <c r="G5" s="308">
        <v>13915</v>
      </c>
      <c r="H5" s="309">
        <v>14368</v>
      </c>
      <c r="I5" s="355">
        <v>16711</v>
      </c>
      <c r="J5" s="310"/>
      <c r="K5" s="312">
        <v>44995</v>
      </c>
      <c r="L5" s="370">
        <v>12742</v>
      </c>
      <c r="M5" s="76">
        <v>11110</v>
      </c>
      <c r="N5" s="351">
        <v>11726</v>
      </c>
      <c r="O5" s="77">
        <v>12678</v>
      </c>
      <c r="P5" s="111">
        <v>48257</v>
      </c>
    </row>
    <row r="6" spans="2:16" ht="26.25" customHeight="1">
      <c r="B6" s="606"/>
      <c r="C6" s="607"/>
      <c r="D6" s="588"/>
      <c r="E6" s="581"/>
      <c r="F6" s="589"/>
      <c r="G6" s="366">
        <v>9.1999999999999998E-2</v>
      </c>
      <c r="H6" s="305">
        <v>0.29299999999999998</v>
      </c>
      <c r="I6" s="344">
        <v>0.42499999999999999</v>
      </c>
      <c r="J6" s="306"/>
      <c r="K6" s="307">
        <v>0.26500000000000001</v>
      </c>
      <c r="L6" s="371">
        <v>0.374</v>
      </c>
      <c r="M6" s="80">
        <v>0.38300000000000001</v>
      </c>
      <c r="N6" s="349">
        <v>0.33200000000000002</v>
      </c>
      <c r="O6" s="81">
        <v>0.24299999999999999</v>
      </c>
      <c r="P6" s="82">
        <v>0.32900000000000001</v>
      </c>
    </row>
    <row r="7" spans="2:16" ht="26.25" customHeight="1">
      <c r="B7" s="606"/>
      <c r="C7" s="607"/>
      <c r="D7" s="586" t="s">
        <v>180</v>
      </c>
      <c r="E7" s="579"/>
      <c r="F7" s="587"/>
      <c r="G7" s="308">
        <v>27969</v>
      </c>
      <c r="H7" s="309">
        <v>28190</v>
      </c>
      <c r="I7" s="355">
        <v>27976</v>
      </c>
      <c r="J7" s="310"/>
      <c r="K7" s="312">
        <v>84136</v>
      </c>
      <c r="L7" s="370">
        <v>26991</v>
      </c>
      <c r="M7" s="76">
        <v>27269</v>
      </c>
      <c r="N7" s="351">
        <v>27527</v>
      </c>
      <c r="O7" s="77">
        <v>27743</v>
      </c>
      <c r="P7" s="111">
        <v>109531</v>
      </c>
    </row>
    <row r="8" spans="2:16" ht="26.25" customHeight="1">
      <c r="B8" s="606"/>
      <c r="C8" s="607"/>
      <c r="D8" s="588"/>
      <c r="E8" s="581"/>
      <c r="F8" s="589"/>
      <c r="G8" s="366">
        <v>3.5999999999999997E-2</v>
      </c>
      <c r="H8" s="305">
        <v>3.4000000000000002E-2</v>
      </c>
      <c r="I8" s="344">
        <v>1.6E-2</v>
      </c>
      <c r="J8" s="306"/>
      <c r="K8" s="307">
        <v>2.9000000000000001E-2</v>
      </c>
      <c r="L8" s="371">
        <v>2.9000000000000001E-2</v>
      </c>
      <c r="M8" s="80">
        <v>3.5999999999999997E-2</v>
      </c>
      <c r="N8" s="349">
        <v>4.1000000000000002E-2</v>
      </c>
      <c r="O8" s="81">
        <v>0.04</v>
      </c>
      <c r="P8" s="82">
        <v>3.6999999999999998E-2</v>
      </c>
    </row>
    <row r="9" spans="2:16" ht="26.25" customHeight="1">
      <c r="B9" s="606"/>
      <c r="C9" s="586" t="s">
        <v>183</v>
      </c>
      <c r="D9" s="608"/>
      <c r="E9" s="608"/>
      <c r="F9" s="609"/>
      <c r="G9" s="375">
        <f>_EPRCS_VU_61ddfa2e_d7cb_4004_bc25_ce43f7384565</f>
        <v>19097</v>
      </c>
      <c r="H9" s="329">
        <v>42558</v>
      </c>
      <c r="I9" s="355">
        <v>44688</v>
      </c>
      <c r="J9" s="313"/>
      <c r="K9" s="312">
        <f>_EPRCS_VU_9670c32b_a468_4fd3_8164_f0ba4a17880b</f>
        <v>39129</v>
      </c>
      <c r="L9" s="372">
        <v>39733</v>
      </c>
      <c r="M9" s="396">
        <v>38379</v>
      </c>
      <c r="N9" s="348">
        <v>39253</v>
      </c>
      <c r="O9" s="79">
        <v>40422</v>
      </c>
      <c r="P9" s="208">
        <v>157789</v>
      </c>
    </row>
    <row r="10" spans="2:16" ht="26.25" customHeight="1">
      <c r="B10" s="606"/>
      <c r="C10" s="610"/>
      <c r="D10" s="611"/>
      <c r="E10" s="611"/>
      <c r="F10" s="612"/>
      <c r="G10" s="366" t="str">
        <f>_EPRCS_VU_7d27241d_21d1_4085_b4c4_51de9cec7248</f>
        <v>37.2%</v>
      </c>
      <c r="H10" s="305">
        <v>0.109</v>
      </c>
      <c r="I10" s="344">
        <v>0.13800000000000001</v>
      </c>
      <c r="J10" s="306"/>
      <c r="K10" s="307" t="str">
        <f>_EPRCS_VU_ed3b1116_c1e4_4db2_a4bc_b69b1ef91baf</f>
        <v>38.3%</v>
      </c>
      <c r="L10" s="371" t="s">
        <v>189</v>
      </c>
      <c r="M10" s="80" t="s">
        <v>190</v>
      </c>
      <c r="N10" s="349" t="s">
        <v>191</v>
      </c>
      <c r="O10" s="81" t="s">
        <v>192</v>
      </c>
      <c r="P10" s="82" t="s">
        <v>193</v>
      </c>
    </row>
    <row r="11" spans="2:16" ht="26.25" customHeight="1">
      <c r="B11" s="606"/>
      <c r="C11" s="591" t="s">
        <v>181</v>
      </c>
      <c r="D11" s="583"/>
      <c r="E11" s="583"/>
      <c r="F11" s="592"/>
      <c r="G11" s="308">
        <f>_EPRCS_VU_8a3addfc_f451_4926_9691_5493b1a8976f</f>
        <v>37441</v>
      </c>
      <c r="H11" s="309">
        <f>IF(G2="Q1","",_EPRCS_VU_69c8cc68_1949_489a_a8ca_cb8420919363)</f>
        <v>38975</v>
      </c>
      <c r="I11" s="355" t="str">
        <f>IF(G2="Q1","",IF(G2="Q2","",_EPRCS_VU_21321d50_ffbe_412b_a7ad_36419aa0d280))</f>
        <v/>
      </c>
      <c r="J11" s="310" t="str">
        <f>IF(G2="Q1","",IF(G2="Q2","",IF(G2="Q3","",_EPRCS_VU_b9c4cb94_4d60_4af2_b127_4724feda6515)))</f>
        <v/>
      </c>
      <c r="K11" s="312">
        <f>_EPRCS_VU_cf473b97_596a_4197_a55d_72c4e0e6b4e2</f>
        <v>76417</v>
      </c>
      <c r="L11" s="370">
        <v>8436</v>
      </c>
      <c r="M11" s="76">
        <v>11839</v>
      </c>
      <c r="N11" s="351">
        <v>11022</v>
      </c>
      <c r="O11" s="77">
        <v>15987</v>
      </c>
      <c r="P11" s="111">
        <v>47285</v>
      </c>
    </row>
    <row r="12" spans="2:16" ht="26.25" customHeight="1">
      <c r="B12" s="606"/>
      <c r="C12" s="588"/>
      <c r="D12" s="581"/>
      <c r="E12" s="581"/>
      <c r="F12" s="589"/>
      <c r="G12" s="366" t="str">
        <f>_EPRCS_VU_8e7f3b8d_844a_4ea8_889b_6608915da276</f>
        <v>-7.6%</v>
      </c>
      <c r="H12" s="305" t="str">
        <f>IF(G2="Q1","",_EPRCS_VU_79dbdf19_ba49_4d06_90de_1e6c4889d8cd)</f>
        <v/>
      </c>
      <c r="I12" s="344" t="str">
        <f>IF(G2="Q1","",IF(G2="Q2","",_EPRCS_VU_7962fd3e_86af_49c1_a17e_a078f12f9576))</f>
        <v/>
      </c>
      <c r="J12" s="306" t="str">
        <f>IF(G2="Q1","",IF(G2="Q2","",IF(G2="Q3","",_EPRCS_VU_dab2433f_e6d3_4c09_98ab_759962b622ec)))</f>
        <v/>
      </c>
      <c r="K12" s="307" t="str">
        <f>_EPRCS_VU_8ec954a1_3070_45fe_a232_ba2d89784655</f>
        <v>-2.1%</v>
      </c>
      <c r="L12" s="371" t="s">
        <v>194</v>
      </c>
      <c r="M12" s="80" t="s">
        <v>195</v>
      </c>
      <c r="N12" s="349" t="s">
        <v>196</v>
      </c>
      <c r="O12" s="81" t="s">
        <v>197</v>
      </c>
      <c r="P12" s="82" t="s">
        <v>198</v>
      </c>
    </row>
    <row r="13" spans="2:16" ht="26.25" customHeight="1">
      <c r="B13" s="578" t="s">
        <v>106</v>
      </c>
      <c r="C13" s="579"/>
      <c r="D13" s="579"/>
      <c r="E13" s="579"/>
      <c r="F13" s="587"/>
      <c r="G13" s="308">
        <f>_EPRCS_VU_9384e972_70dc_4c0f_a19f_c7e060e6a9af</f>
        <v>56539</v>
      </c>
      <c r="H13" s="315">
        <f>IF(G2="Q1","",_EPRCS_VU_12551c9a_13ef_4396_bc59_bd62b66f88e1)</f>
        <v>59007</v>
      </c>
      <c r="I13" s="390" t="str">
        <f>IF(G2="Q1","",IF(G2="Q2","",_EPRCS_VU_382b4d89_c262_4c2a_8f66_e24e90eadc2a))</f>
        <v/>
      </c>
      <c r="J13" s="315" t="str">
        <f>IF(G2="Q1","",IF(G2="Q2","",IF(G2="Q3","",_EPRCS_VU_1ea16c9f_56de_45ce_b559_4a4990b5f147)))</f>
        <v/>
      </c>
      <c r="K13" s="312">
        <f>_EPRCS_VU_aaf2e603_44e2_47e6_a642_368cc3fd7394</f>
        <v>115546</v>
      </c>
      <c r="L13" s="370">
        <v>48170</v>
      </c>
      <c r="M13" s="79">
        <v>50218</v>
      </c>
      <c r="N13" s="394">
        <v>50276</v>
      </c>
      <c r="O13" s="79">
        <v>56409</v>
      </c>
      <c r="P13" s="78">
        <v>205074</v>
      </c>
    </row>
    <row r="14" spans="2:16" ht="26.25" customHeight="1">
      <c r="B14" s="580"/>
      <c r="C14" s="581"/>
      <c r="D14" s="581"/>
      <c r="E14" s="581"/>
      <c r="F14" s="589"/>
      <c r="G14" s="367" t="str">
        <f>_EPRCS_VU_d572f0e0_97eb_46e4_bc18_38f949b84e45</f>
        <v>3.9%</v>
      </c>
      <c r="H14" s="306" t="str">
        <f>IF(G2="Q1","",_EPRCS_VU_e84e5be3_3196_4ae0_a6e9_25700fb89c4d)</f>
        <v/>
      </c>
      <c r="I14" s="392" t="str">
        <f>IF(G2="Q1","",IF(G2="Q2","",_EPRCS_VU_9cb3bfac_9da6_4ecb_873b_1ba36f062c1c))</f>
        <v/>
      </c>
      <c r="J14" s="306" t="str">
        <f>IF(G2="Q1","",IF(G2="Q2","",IF(G2="Q3","",_EPRCS_VU_d6f137d0_ac3c_4ffd_b6d0_5b9491c722c3)))</f>
        <v/>
      </c>
      <c r="K14" s="307" t="str">
        <f>_EPRCS_VU_2876a8ce_a99d_41e1_aa84_5d8cbee07535</f>
        <v>8.6%</v>
      </c>
      <c r="L14" s="373" t="s">
        <v>199</v>
      </c>
      <c r="M14" s="81" t="s">
        <v>172</v>
      </c>
      <c r="N14" s="395" t="s">
        <v>200</v>
      </c>
      <c r="O14" s="81" t="s">
        <v>177</v>
      </c>
      <c r="P14" s="82" t="s">
        <v>201</v>
      </c>
    </row>
    <row r="15" spans="2:16" ht="26.25" customHeight="1">
      <c r="B15" s="578" t="s">
        <v>231</v>
      </c>
      <c r="C15" s="579"/>
      <c r="D15" s="579"/>
      <c r="E15" s="579"/>
      <c r="F15" s="579"/>
      <c r="G15" s="308">
        <f>_EPRCS_VU_1cb62492_ba56_4944_91d9_d509fe77df13</f>
        <v>3463</v>
      </c>
      <c r="H15" s="309">
        <f>IF(G2="Q1","",_EPRCS_VU_47eca099_82d3_4998_9eeb_3d01841de357)</f>
        <v>2994</v>
      </c>
      <c r="I15" s="341" t="str">
        <f>IF(G2="Q1","",IF(G2="Q2","",_EPRCS_VU_b20b2d96_d1aa_4f6b_8621_25ee43a70a72))</f>
        <v/>
      </c>
      <c r="J15" s="310" t="str">
        <f>IF(G2="Q1","",IF(G2="Q2","",IF(G2="Q3","",_EPRCS_VU_1bc47d32_0e8b_4c36_8fc3_da76ce74b203)))</f>
        <v/>
      </c>
      <c r="K15" s="312">
        <f>_EPRCS_VU_8f5c5a05_fb94_4438_ae91_34b372dd20aa</f>
        <v>6457</v>
      </c>
      <c r="L15" s="370">
        <v>3819</v>
      </c>
      <c r="M15" s="76">
        <v>4226</v>
      </c>
      <c r="N15" s="346">
        <v>3748</v>
      </c>
      <c r="O15" s="77">
        <v>5101</v>
      </c>
      <c r="P15" s="78">
        <v>16896</v>
      </c>
    </row>
    <row r="16" spans="2:16" ht="26.25" customHeight="1">
      <c r="B16" s="580"/>
      <c r="C16" s="581"/>
      <c r="D16" s="581"/>
      <c r="E16" s="581"/>
      <c r="F16" s="581"/>
      <c r="G16" s="366" t="str">
        <f>_EPRCS_VU_afc675a9_84dd_4669_b37a_692d7a60401d</f>
        <v>-4.1%</v>
      </c>
      <c r="H16" s="305" t="str">
        <f>IF(G2="Q1","",_EPRCS_VU_949509bd_9b74_4867_ae97_e29870856c5d)</f>
        <v/>
      </c>
      <c r="I16" s="342" t="str">
        <f>IF(G2="Q1","",IF(G2="Q2","",_EPRCS_VU_b157e619_a8a3_416e_b980_c225ca523f9f))</f>
        <v/>
      </c>
      <c r="J16" s="306" t="str">
        <f>IF(G2="Q1","",IF(G2="Q2","",IF(G2="Q3","",_EPRCS_VU_d77f25bc_0dcd_44d2_9079_745e8a8abe55)))</f>
        <v/>
      </c>
      <c r="K16" s="307" t="str">
        <f>_EPRCS_VU_a141dab2_9c0a_4e7a_84ff_0a5e397a0135</f>
        <v>-4.6%</v>
      </c>
      <c r="L16" s="371" t="s">
        <v>174</v>
      </c>
      <c r="M16" s="80" t="s">
        <v>198</v>
      </c>
      <c r="N16" s="347" t="s">
        <v>202</v>
      </c>
      <c r="O16" s="81" t="s">
        <v>203</v>
      </c>
      <c r="P16" s="82" t="s">
        <v>204</v>
      </c>
    </row>
    <row r="17" spans="2:16" ht="26.25" customHeight="1">
      <c r="B17" s="582" t="s">
        <v>102</v>
      </c>
      <c r="C17" s="583"/>
      <c r="D17" s="583"/>
      <c r="E17" s="583"/>
      <c r="F17" s="583"/>
      <c r="G17" s="308">
        <f>_EPRCS_VU_3654dd71_1f2d_4c17_b22e_6b696b405d36</f>
        <v>6272</v>
      </c>
      <c r="H17" s="309">
        <f>IF(G2="Q1","",_EPRCS_VU_685fde2d_03e5_4ccd_b995_90068d48ba69)</f>
        <v>6399</v>
      </c>
      <c r="I17" s="341" t="str">
        <f>IF(G2="Q1","",IF(G2="Q2","",_EPRCS_VU_fefff050_db52_4fc7_b34e_2f20bfde9ff8))</f>
        <v/>
      </c>
      <c r="J17" s="310" t="str">
        <f>IF(G2="Q1","",IF(G2="Q2","",IF(G2="Q3","",_EPRCS_VU_20505565_83c2_4763_98b7_8d95ec41cd56)))</f>
        <v/>
      </c>
      <c r="K17" s="312">
        <f>_EPRCS_VU_2fccc0d2_f744_4889_be97_5da7469aadf9</f>
        <v>12672</v>
      </c>
      <c r="L17" s="370">
        <v>5382</v>
      </c>
      <c r="M17" s="76">
        <v>5602</v>
      </c>
      <c r="N17" s="346">
        <v>5438</v>
      </c>
      <c r="O17" s="77">
        <v>6148</v>
      </c>
      <c r="P17" s="78">
        <v>22571</v>
      </c>
    </row>
    <row r="18" spans="2:16" ht="26.25" customHeight="1">
      <c r="B18" s="580"/>
      <c r="C18" s="581"/>
      <c r="D18" s="581"/>
      <c r="E18" s="581"/>
      <c r="F18" s="581"/>
      <c r="G18" s="366" t="str">
        <f>_EPRCS_VU_60c431da_b49a_46a1_8c16_968314448194</f>
        <v>6.9%</v>
      </c>
      <c r="H18" s="305" t="str">
        <f>IF(G2="Q1","",_EPRCS_VU_a5afb466_fc30_4456_93eb_a2ff8b10a74d)</f>
        <v/>
      </c>
      <c r="I18" s="342" t="str">
        <f>IF(G2="Q1","",IF(G2="Q2","",_EPRCS_VU_f464091c_160b_4c16_9625_d5f910c39a4a))</f>
        <v/>
      </c>
      <c r="J18" s="306" t="str">
        <f>IF(G2="Q1","",IF(G2="Q2","",IF(G2="Q3","",_EPRCS_VU_c2ced7a2_80fe_4206_bd35_02c4a1918a43)))</f>
        <v/>
      </c>
      <c r="K18" s="307" t="str">
        <f>_EPRCS_VU_6cc79af0_4374_4659_ab01_a72c6b10ac79</f>
        <v>4.1%</v>
      </c>
      <c r="L18" s="371" t="s">
        <v>205</v>
      </c>
      <c r="M18" s="80" t="s">
        <v>206</v>
      </c>
      <c r="N18" s="347" t="s">
        <v>207</v>
      </c>
      <c r="O18" s="81" t="s">
        <v>208</v>
      </c>
      <c r="P18" s="82" t="s">
        <v>175</v>
      </c>
    </row>
    <row r="19" spans="2:16" ht="26.25" customHeight="1">
      <c r="B19" s="582" t="s">
        <v>234</v>
      </c>
      <c r="C19" s="583"/>
      <c r="D19" s="583"/>
      <c r="E19" s="583"/>
      <c r="F19" s="583"/>
      <c r="G19" s="308">
        <f>_EPRCS_VU_a7b1219e_6b33_4641_a3cb_a70ed69753a3</f>
        <v>66275</v>
      </c>
      <c r="H19" s="309">
        <f>IF(G2="Q1","",_EPRCS_VU_fa7a35cb_5c76_4ad9_8d2a_bdd90c90a01a)</f>
        <v>68401</v>
      </c>
      <c r="I19" s="341" t="str">
        <f>IF(G2="Q1","",IF(G2="Q2","",_EPRCS_VU_f728f235_7bc3_4fb1_9954_54fd0325275a))</f>
        <v/>
      </c>
      <c r="J19" s="310" t="str">
        <f>IF(G2="Q1","",IF(G2="Q2","",IF(G2="Q3","",_EPRCS_VU_548e0434_0e4e_40a1_82c2_8156e06fa6c5)))</f>
        <v/>
      </c>
      <c r="K19" s="312">
        <f>_EPRCS_VU_fbc0e8e1_e7fa_43e1_9228_eee73c606e8d</f>
        <v>134677</v>
      </c>
      <c r="L19" s="370">
        <v>57372</v>
      </c>
      <c r="M19" s="76">
        <v>60047</v>
      </c>
      <c r="N19" s="346">
        <v>59464</v>
      </c>
      <c r="O19" s="77">
        <v>67658</v>
      </c>
      <c r="P19" s="111">
        <v>244542</v>
      </c>
    </row>
    <row r="20" spans="2:16" ht="26.25" customHeight="1" thickBot="1">
      <c r="B20" s="584"/>
      <c r="C20" s="585"/>
      <c r="D20" s="585"/>
      <c r="E20" s="585"/>
      <c r="F20" s="585"/>
      <c r="G20" s="368" t="str">
        <f>_EPRCS_VU_6c3d1c01_51b5_4fc1_9310_1d2dbbd76807</f>
        <v>3.7%</v>
      </c>
      <c r="H20" s="316" t="str">
        <f>IF(G2="Q1","",_EPRCS_VU_06851369_31b1_4d9a_83c1_e58e24f7f32d)</f>
        <v/>
      </c>
      <c r="I20" s="345" t="str">
        <f>IF(G2="Q1","",IF(G2="Q2","",_EPRCS_VU_2a9126ad_499f_47b4_ae11_c2b570a17aa8))</f>
        <v/>
      </c>
      <c r="J20" s="317" t="str">
        <f>IF(G2="Q1","",IF(G2="Q2","",IF(G2="Q3","",_EPRCS_VU_e2260264_b2cd_484d_afd1_bb46c6f445d0)))</f>
        <v/>
      </c>
      <c r="K20" s="318" t="str">
        <f>_EPRCS_VU_f4e0abfe_12a2_4888_b1db_de96d29ec255</f>
        <v>7.5%</v>
      </c>
      <c r="L20" s="374" t="s">
        <v>209</v>
      </c>
      <c r="M20" s="84" t="s">
        <v>210</v>
      </c>
      <c r="N20" s="350" t="s">
        <v>171</v>
      </c>
      <c r="O20" s="85" t="s">
        <v>173</v>
      </c>
      <c r="P20" s="86" t="s">
        <v>166</v>
      </c>
    </row>
    <row r="21" spans="2:16" ht="11" customHeight="1">
      <c r="B21" s="613"/>
      <c r="C21" s="613"/>
      <c r="D21" s="613"/>
      <c r="E21" s="613"/>
      <c r="F21" s="613"/>
      <c r="G21" s="613"/>
      <c r="H21" s="613"/>
      <c r="I21" s="613"/>
      <c r="J21" s="613"/>
      <c r="K21" s="613"/>
      <c r="L21" s="613"/>
      <c r="M21" s="613"/>
      <c r="N21" s="613"/>
      <c r="O21" s="613"/>
      <c r="P21" s="613"/>
    </row>
    <row r="22" spans="2:16" ht="23.55" customHeight="1" thickBot="1">
      <c r="B22" s="75" t="s">
        <v>97</v>
      </c>
      <c r="C22" s="75"/>
    </row>
    <row r="23" spans="2:16" ht="26.25" customHeight="1">
      <c r="B23" s="573"/>
      <c r="C23" s="574"/>
      <c r="D23" s="575"/>
      <c r="E23" s="575"/>
      <c r="F23" s="575"/>
      <c r="G23" s="299"/>
      <c r="H23" s="300"/>
      <c r="I23" s="301">
        <v>45778</v>
      </c>
      <c r="J23" s="300"/>
      <c r="K23" s="302"/>
      <c r="L23" s="104"/>
      <c r="M23" s="67"/>
      <c r="N23" s="72">
        <v>45413</v>
      </c>
      <c r="O23" s="67"/>
      <c r="P23" s="68"/>
    </row>
    <row r="24" spans="2:16" ht="26.25" customHeight="1" thickBot="1">
      <c r="B24" s="576"/>
      <c r="C24" s="577"/>
      <c r="D24" s="577"/>
      <c r="E24" s="577"/>
      <c r="F24" s="577"/>
      <c r="G24" s="365" t="s">
        <v>53</v>
      </c>
      <c r="H24" s="303" t="s">
        <v>54</v>
      </c>
      <c r="I24" s="391" t="s">
        <v>55</v>
      </c>
      <c r="J24" s="303" t="s">
        <v>56</v>
      </c>
      <c r="K24" s="304" t="s">
        <v>57</v>
      </c>
      <c r="L24" s="106" t="s">
        <v>53</v>
      </c>
      <c r="M24" s="69" t="s">
        <v>54</v>
      </c>
      <c r="N24" s="393" t="s">
        <v>55</v>
      </c>
      <c r="O24" s="69" t="s">
        <v>56</v>
      </c>
      <c r="P24" s="73" t="s">
        <v>57</v>
      </c>
    </row>
    <row r="25" spans="2:16" s="71" customFormat="1" ht="26.25" customHeight="1">
      <c r="B25" s="578" t="s">
        <v>285</v>
      </c>
      <c r="C25" s="579"/>
      <c r="D25" s="579"/>
      <c r="E25" s="579"/>
      <c r="F25" s="579"/>
      <c r="G25" s="308">
        <f>_EPRCS_VU_49ae8ce3_1e23_4000_98f4_819016bed1d4</f>
        <v>21159</v>
      </c>
      <c r="H25" s="310">
        <f>IF(G2="Q1","",_EPRCS_VU_b66b5450_4eef_4ea9_9b06_5f931ad638dd)</f>
        <v>21539</v>
      </c>
      <c r="I25" s="390" t="str">
        <f>IF(G2="Q1","",IF(G2="Q2","",_EPRCS_VU_63813470_c128_46a7_ac5e_f2885d96c02e))</f>
        <v/>
      </c>
      <c r="J25" s="310" t="str">
        <f>IF(G2="Q1","",IF(G2="Q2","",IF(G2="Q3","",_EPRCS_VU_210ff433_2b83_460b_b5bd_fd9f623272b1)))</f>
        <v/>
      </c>
      <c r="K25" s="311">
        <f>_EPRCS_VU_6a8a026c_c7c4_485d_8be9_4b3b7c872238</f>
        <v>42699</v>
      </c>
      <c r="L25" s="70">
        <v>18574</v>
      </c>
      <c r="M25" s="77">
        <v>19293</v>
      </c>
      <c r="N25" s="394">
        <v>19685</v>
      </c>
      <c r="O25" s="77">
        <v>22033</v>
      </c>
      <c r="P25" s="78">
        <v>79586</v>
      </c>
    </row>
    <row r="26" spans="2:16" s="71" customFormat="1" ht="26.25" customHeight="1">
      <c r="B26" s="580"/>
      <c r="C26" s="581"/>
      <c r="D26" s="581"/>
      <c r="E26" s="581"/>
      <c r="F26" s="581"/>
      <c r="G26" s="366" t="str">
        <f>_EPRCS_VU_a70078f7_c17f_4300_8ceb_804fc347129b</f>
        <v>-3.8%</v>
      </c>
      <c r="H26" s="306" t="str">
        <f>IF(G2="Q1","",_EPRCS_VU_180f0f9c_075a_4d99_a9c6_dcae209a4626)</f>
        <v/>
      </c>
      <c r="I26" s="392" t="str">
        <f>IF(G2="Q1","",IF(G2="Q2","",_EPRCS_VU_59b22a5e_849a_43b6_8ce2_0f6e13d73fa6))</f>
        <v/>
      </c>
      <c r="J26" s="306" t="str">
        <f>IF(G2="Q1","",IF(G2="Q2","",IF(G2="Q3","",_EPRCS_VU_f227701d_bc5a_419d_a8df_121157cf024c)))</f>
        <v/>
      </c>
      <c r="K26" s="307" t="str">
        <f>_EPRCS_VU_954209ba_ee1c_4ecc_99a5_97c4f04ff7ac</f>
        <v>3.6%</v>
      </c>
      <c r="L26" s="107" t="s">
        <v>211</v>
      </c>
      <c r="M26" s="81" t="s">
        <v>176</v>
      </c>
      <c r="N26" s="395" t="s">
        <v>192</v>
      </c>
      <c r="O26" s="81" t="s">
        <v>212</v>
      </c>
      <c r="P26" s="82" t="s">
        <v>213</v>
      </c>
    </row>
    <row r="27" spans="2:16" s="71" customFormat="1" ht="26.25" customHeight="1">
      <c r="B27" s="602" t="s">
        <v>231</v>
      </c>
      <c r="C27" s="603"/>
      <c r="D27" s="603"/>
      <c r="E27" s="603"/>
      <c r="F27" s="603"/>
      <c r="G27" s="375">
        <f>_EPRCS_VU_ea97e8a3_c57b_4169_8ae7_63c60b10dea0</f>
        <v>124</v>
      </c>
      <c r="H27" s="315">
        <f>IF(G2="Q1","",_EPRCS_VU_9ecf30f4_bdc3_44b0_8bdc_ebe1f353f1d7)</f>
        <v>99</v>
      </c>
      <c r="I27" s="343" t="str">
        <f>IF(G2="Q1","",IF(G2="Q2","",_EPRCS_VU_0419fe7c_8e5c_48be_8627_1ece72d9c780))</f>
        <v/>
      </c>
      <c r="J27" s="315" t="str">
        <f>IF(G2="Q1","",IF(G2="Q2","",IF(G2="Q3","",_EPRCS_VU_346fb839_3ad3_472f_998e_9a170fdebc75)))</f>
        <v/>
      </c>
      <c r="K27" s="311">
        <f>_EPRCS_VU_006bad7c_3696_4d8d_b27e_68d6984074b4</f>
        <v>223</v>
      </c>
      <c r="L27" s="379">
        <v>160</v>
      </c>
      <c r="M27" s="79">
        <v>116</v>
      </c>
      <c r="N27" s="348">
        <v>158</v>
      </c>
      <c r="O27" s="79">
        <v>255</v>
      </c>
      <c r="P27" s="87">
        <v>691</v>
      </c>
    </row>
    <row r="28" spans="2:16" s="71" customFormat="1" ht="26.25" customHeight="1">
      <c r="B28" s="604"/>
      <c r="C28" s="605"/>
      <c r="D28" s="605"/>
      <c r="E28" s="605"/>
      <c r="F28" s="605"/>
      <c r="G28" s="367" t="str">
        <f>_EPRCS_VU_721c8970_3e84_4060_8fce_108dbf2d600e</f>
        <v>-8.0%</v>
      </c>
      <c r="H28" s="306" t="str">
        <f>IF(G2="Q1","",_EPRCS_VU_39f5a930_be4f_4454_a307_d29e8b63c50d)</f>
        <v/>
      </c>
      <c r="I28" s="344" t="str">
        <f>IF(G2="Q1","",IF(G2="Q2","",_EPRCS_VU_a2887b35_3dc4_4a18_a402_be87900a8a54))</f>
        <v/>
      </c>
      <c r="J28" s="306" t="str">
        <f>IF(G2="Q1","",IF(G2="Q2","",IF(G2="Q3","",_EPRCS_VU_37505b56_5784_499c_beda_3ead13a5540c)))</f>
        <v/>
      </c>
      <c r="K28" s="319" t="str">
        <f>_EPRCS_VU_2628e299_8bc0_476d_aafb_82087ca9cc95</f>
        <v>-7.2%</v>
      </c>
      <c r="L28" s="380" t="s">
        <v>214</v>
      </c>
      <c r="M28" s="81" t="s">
        <v>215</v>
      </c>
      <c r="N28" s="349" t="s">
        <v>216</v>
      </c>
      <c r="O28" s="81" t="s">
        <v>217</v>
      </c>
      <c r="P28" s="88" t="s">
        <v>218</v>
      </c>
    </row>
    <row r="29" spans="2:16" s="71" customFormat="1" ht="26.25" customHeight="1">
      <c r="B29" s="602" t="s">
        <v>95</v>
      </c>
      <c r="C29" s="603"/>
      <c r="D29" s="603"/>
      <c r="E29" s="603"/>
      <c r="F29" s="603"/>
      <c r="G29" s="375">
        <f>_EPRCS_VU_9a83a97b_c839_4372_8896_a549ad646f85</f>
        <v>1350</v>
      </c>
      <c r="H29" s="315">
        <f>IF(G2="Q1","",_EPRCS_VU_472a313a_2e70_4817_ba33_2092029a0e7a)</f>
        <v>1569</v>
      </c>
      <c r="I29" s="343" t="str">
        <f>IF(G2="Q1","",IF(G2="Q2","",_EPRCS_VU_ff390a40_17f4_4dd7_abcd_9d16e7651e0d))</f>
        <v/>
      </c>
      <c r="J29" s="315" t="str">
        <f>IF(G2="Q1","",IF(G2="Q2","",IF(G2="Q3","",_EPRCS_VU_07abcf68_72d7_47bb_bdb8_487e2ef4a7de)))</f>
        <v/>
      </c>
      <c r="K29" s="311">
        <f>_EPRCS_VU_28fb3dae_1e0d_4565_895f_69e4367c8feb</f>
        <v>2919</v>
      </c>
      <c r="L29" s="379">
        <v>923</v>
      </c>
      <c r="M29" s="79">
        <v>1523</v>
      </c>
      <c r="N29" s="348">
        <v>837</v>
      </c>
      <c r="O29" s="79">
        <v>1480</v>
      </c>
      <c r="P29" s="87">
        <v>4764</v>
      </c>
    </row>
    <row r="30" spans="2:16" s="71" customFormat="1" ht="26.25" customHeight="1">
      <c r="B30" s="604"/>
      <c r="C30" s="605"/>
      <c r="D30" s="605"/>
      <c r="E30" s="605"/>
      <c r="F30" s="605"/>
      <c r="G30" s="367" t="str">
        <f>_EPRCS_VU_c17d0e91_3e08_45c7_8f7f_01115697a461</f>
        <v>3.6%</v>
      </c>
      <c r="H30" s="306" t="str">
        <f>IF(G2="Q1","",_EPRCS_VU_4a6aad6b_94fe_406b_997d_a874a77f52ba)</f>
        <v/>
      </c>
      <c r="I30" s="344" t="str">
        <f>IF(G2="Q1","",IF(G2="Q2","",_EPRCS_VU_d11e9f45_9cfc_4fa3_b98d_db66167f3740))</f>
        <v/>
      </c>
      <c r="J30" s="306" t="str">
        <f>IF(G2="Q1","",IF(G2="Q2","",IF(G2="Q3","",_EPRCS_VU_a2435e05_07e0_41d4_a1ef_e95b898f4e4d)))</f>
        <v/>
      </c>
      <c r="K30" s="319" t="str">
        <f>_EPRCS_VU_9e5ef11e_2973_4235_bc9b_9b27b338940e</f>
        <v>6.9%</v>
      </c>
      <c r="L30" s="380" t="s">
        <v>219</v>
      </c>
      <c r="M30" s="81" t="s">
        <v>194</v>
      </c>
      <c r="N30" s="349" t="s">
        <v>220</v>
      </c>
      <c r="O30" s="81" t="s">
        <v>167</v>
      </c>
      <c r="P30" s="88" t="s">
        <v>221</v>
      </c>
    </row>
    <row r="31" spans="2:16" ht="26.25" customHeight="1">
      <c r="B31" s="582" t="s">
        <v>101</v>
      </c>
      <c r="C31" s="583"/>
      <c r="D31" s="583"/>
      <c r="E31" s="583"/>
      <c r="F31" s="583"/>
      <c r="G31" s="376">
        <f>_EPRCS_VU_1176b03a_f4c2_4c92_9b1a_b88941a855de</f>
        <v>-1505</v>
      </c>
      <c r="H31" s="320">
        <f>IF(G2="Q1","",_EPRCS_VU_b29b8e65_8355_42c8_bb74_fd636639b87b)</f>
        <v>-1677</v>
      </c>
      <c r="I31" s="356" t="str">
        <f>IF(G2="Q1","",IF(G2="Q2","",_EPRCS_VU_d1167af3_fbc2_48d0_86a7_f5e9705097ca))</f>
        <v/>
      </c>
      <c r="J31" s="320" t="str">
        <f>IF(G2="Q1","",IF(G2="Q2","",IF(G2="Q3","",_EPRCS_VU_9083c51c_f7df_4809_acd6_8624efdac363)))</f>
        <v/>
      </c>
      <c r="K31" s="321">
        <f>_EPRCS_VU_0354b787_d4f2_4b95_b585_45b8c6b309d6</f>
        <v>-3183</v>
      </c>
      <c r="L31" s="381">
        <v>-1190</v>
      </c>
      <c r="M31" s="96">
        <v>-1080</v>
      </c>
      <c r="N31" s="352">
        <v>-1296</v>
      </c>
      <c r="O31" s="96">
        <v>-1656</v>
      </c>
      <c r="P31" s="97">
        <v>-5222</v>
      </c>
    </row>
    <row r="32" spans="2:16" ht="26.25" customHeight="1">
      <c r="B32" s="580"/>
      <c r="C32" s="581"/>
      <c r="D32" s="581"/>
      <c r="E32" s="581"/>
      <c r="F32" s="581"/>
      <c r="G32" s="377" t="str">
        <f>_EPRCS_VU_504b2696_bd61_4754_8f8d_3ac9f6803be7</f>
        <v>21.3%</v>
      </c>
      <c r="H32" s="314" t="str">
        <f>IF(G2="Q1","",_EPRCS_VU_a8e84834_5c10_4889_b7a9_c63ca2fbbc67)</f>
        <v/>
      </c>
      <c r="I32" s="357" t="str">
        <f>IF(G2="Q1","",IF(G2="Q2","",_EPRCS_VU_80832dd0_fa68_415e_9f31_f7b7d7db289f))</f>
        <v/>
      </c>
      <c r="J32" s="314" t="str">
        <f>IF(G2="Q1","",IF(G2="Q2","",IF(G2="Q3","",_EPRCS_VU_2b9cbcd4_3d26_467e_bfb9_6116577674c1)))</f>
        <v/>
      </c>
      <c r="K32" s="322" t="str">
        <f>_EPRCS_VU_3ae9de0c_8922_4916_b433_6f6e47ae77f9</f>
        <v>39.0%</v>
      </c>
      <c r="L32" s="382" t="s">
        <v>222</v>
      </c>
      <c r="M32" s="83" t="s">
        <v>223</v>
      </c>
      <c r="N32" s="353" t="s">
        <v>224</v>
      </c>
      <c r="O32" s="83" t="s">
        <v>225</v>
      </c>
      <c r="P32" s="89" t="s">
        <v>171</v>
      </c>
    </row>
    <row r="33" spans="1:16" ht="26.25" customHeight="1">
      <c r="B33" s="582" t="s">
        <v>96</v>
      </c>
      <c r="C33" s="583"/>
      <c r="D33" s="583"/>
      <c r="E33" s="583"/>
      <c r="F33" s="583"/>
      <c r="G33" s="375">
        <f>_EPRCS_VU_1dc0c384_8a89_488b_9cb5_b8baad0459ab</f>
        <v>21128</v>
      </c>
      <c r="H33" s="315">
        <f>IF(G2="Q1","",_EPRCS_VU_ffad3a57_b325_4c51_aebd_5d7b7e376450)</f>
        <v>21531</v>
      </c>
      <c r="I33" s="343" t="str">
        <f>IF(G2="Q1","",IF(G2="Q2","",_EPRCS_VU_4cf9abab_52cc_4776_8c15_b5d780babf72))</f>
        <v/>
      </c>
      <c r="J33" s="315" t="str">
        <f>IF(G2="Q1","",IF(G2="Q2","",IF(G2="Q3","",_EPRCS_VU_bb3ef813_ff35_482c_8207_9fef32ddab2f)))</f>
        <v/>
      </c>
      <c r="K33" s="323">
        <f>_EPRCS_VU_7daa0f50_2789_4855_8e00_fe52311ff3f4</f>
        <v>42659</v>
      </c>
      <c r="L33" s="379">
        <v>18468</v>
      </c>
      <c r="M33" s="79">
        <v>19853</v>
      </c>
      <c r="N33" s="348">
        <v>19384</v>
      </c>
      <c r="O33" s="79">
        <v>22113</v>
      </c>
      <c r="P33" s="87">
        <v>79820</v>
      </c>
    </row>
    <row r="34" spans="1:16" s="71" customFormat="1" ht="26.25" customHeight="1" thickBot="1">
      <c r="B34" s="584"/>
      <c r="C34" s="585"/>
      <c r="D34" s="585"/>
      <c r="E34" s="585"/>
      <c r="F34" s="585"/>
      <c r="G34" s="378" t="str">
        <f>_EPRCS_VU_e82368fd_3116_45b2_80b6_9b41c574ed33</f>
        <v>-4.8%</v>
      </c>
      <c r="H34" s="317" t="str">
        <f>IF(G2="Q1","",_EPRCS_VU_e44112f7_cca6_480a_a649_d77441b50318)</f>
        <v/>
      </c>
      <c r="I34" s="358" t="str">
        <f>IF(G2="Q1","",IF(G2="Q2","",_EPRCS_VU_48e17506_9ca7_4a80_aa3d_06b7c71d72e5))</f>
        <v/>
      </c>
      <c r="J34" s="317" t="str">
        <f>IF(G2="Q1","",IF(G2="Q2","",IF(G2="Q3","",_EPRCS_VU_b857a7a4_3a70_4134_b8e3_cef51d559b3f)))</f>
        <v/>
      </c>
      <c r="K34" s="324" t="str">
        <f>_EPRCS_VU_32ceace3_3f06_4e46_8afa_912ea78d7f0f</f>
        <v>1.8%</v>
      </c>
      <c r="L34" s="383" t="s">
        <v>226</v>
      </c>
      <c r="M34" s="85" t="s">
        <v>172</v>
      </c>
      <c r="N34" s="354" t="s">
        <v>178</v>
      </c>
      <c r="O34" s="85" t="s">
        <v>227</v>
      </c>
      <c r="P34" s="90" t="s">
        <v>171</v>
      </c>
    </row>
    <row r="35" spans="1:16" ht="50.25" customHeight="1" thickBot="1">
      <c r="A35" s="91"/>
      <c r="B35" s="92" t="s">
        <v>99</v>
      </c>
      <c r="C35" s="92"/>
      <c r="D35" s="91"/>
      <c r="E35" s="91"/>
      <c r="F35" s="91"/>
    </row>
    <row r="36" spans="1:16" ht="28.5" customHeight="1">
      <c r="A36" s="91"/>
      <c r="B36" s="598"/>
      <c r="C36" s="599"/>
      <c r="D36" s="599"/>
      <c r="E36" s="599"/>
      <c r="F36" s="599"/>
      <c r="G36" s="299"/>
      <c r="H36" s="325"/>
      <c r="I36" s="301">
        <v>45778</v>
      </c>
      <c r="J36" s="325"/>
      <c r="K36" s="302"/>
      <c r="L36" s="74"/>
      <c r="M36" s="104"/>
      <c r="N36" s="72">
        <v>45413</v>
      </c>
      <c r="O36" s="104"/>
      <c r="P36" s="68"/>
    </row>
    <row r="37" spans="1:16" ht="28.5" customHeight="1" thickBot="1">
      <c r="A37" s="91"/>
      <c r="B37" s="600"/>
      <c r="C37" s="601"/>
      <c r="D37" s="601"/>
      <c r="E37" s="601"/>
      <c r="F37" s="601"/>
      <c r="G37" s="365" t="s">
        <v>53</v>
      </c>
      <c r="H37" s="303" t="s">
        <v>54</v>
      </c>
      <c r="I37" s="391" t="s">
        <v>55</v>
      </c>
      <c r="J37" s="303" t="s">
        <v>56</v>
      </c>
      <c r="K37" s="304" t="s">
        <v>57</v>
      </c>
      <c r="L37" s="369" t="s">
        <v>53</v>
      </c>
      <c r="M37" s="69" t="s">
        <v>54</v>
      </c>
      <c r="N37" s="393" t="s">
        <v>55</v>
      </c>
      <c r="O37" s="69" t="s">
        <v>56</v>
      </c>
      <c r="P37" s="73" t="s">
        <v>57</v>
      </c>
    </row>
    <row r="38" spans="1:16" ht="33.75" customHeight="1">
      <c r="A38" s="91"/>
      <c r="B38" s="95" t="s">
        <v>98</v>
      </c>
      <c r="C38" s="206"/>
      <c r="D38" s="93"/>
      <c r="E38" s="93"/>
      <c r="F38" s="108"/>
      <c r="G38" s="384">
        <f>_EPRCS_VU_895ee485_7f97_46cd_9711_b8bbad2c7372</f>
        <v>26151</v>
      </c>
      <c r="H38" s="326">
        <f>IF(G2="Q1","",_EPRCS_VU_ae136340_81dd_4ed7_bf76_4e7ad776845a)</f>
        <v>27381</v>
      </c>
      <c r="I38" s="359" t="str">
        <f>IF(G2="Q1","",IF(G2="Q2","",_EPRCS_VU_a16fecac_ba90_4d9c_bc1b_c75dfac3f271))</f>
        <v/>
      </c>
      <c r="J38" s="326" t="str">
        <f>IF(G2="Q1","",IF(G2="Q2","",IF(G2="Q3","",_EPRCS_VU_e58e71fb_15d0_457a_bbe3_c983e58a63fd)))</f>
        <v/>
      </c>
      <c r="K38" s="340">
        <f>_EPRCS_VU_7257c378_8a54_4d50_aa75_b495c7787d8a</f>
        <v>53533</v>
      </c>
      <c r="L38" s="386">
        <v>20850</v>
      </c>
      <c r="M38" s="94">
        <v>22114</v>
      </c>
      <c r="N38" s="362">
        <v>22046</v>
      </c>
      <c r="O38" s="94">
        <v>25301</v>
      </c>
      <c r="P38" s="109">
        <v>90313</v>
      </c>
    </row>
    <row r="39" spans="1:16" ht="33.75" customHeight="1">
      <c r="A39" s="91"/>
      <c r="B39" s="95" t="s">
        <v>232</v>
      </c>
      <c r="C39" s="206"/>
      <c r="D39" s="93"/>
      <c r="E39" s="93"/>
      <c r="F39" s="108"/>
      <c r="G39" s="384">
        <f>_EPRCS_VU_9d7671dd_f2b0_42f1_a9ee_90ce701c9bfa</f>
        <v>3014</v>
      </c>
      <c r="H39" s="326">
        <f>IF(G2="Q1","",_EPRCS_VU_310fdabc_2c05_4409_bc6f_c1c219e5d025)</f>
        <v>2641</v>
      </c>
      <c r="I39" s="359" t="str">
        <f>IF(G2="Q1","",IF(G2="Q2","",_EPRCS_VU_2c2d9bc9_22f3_4798_b1cf_8a6d725cc4cb))</f>
        <v/>
      </c>
      <c r="J39" s="326" t="str">
        <f>IF(G2="Q1","",IF(G2="Q2","",IF(G2="Q3","",_EPRCS_VU_3b86dc21_9538_421c_a87d_292c9111007a)))</f>
        <v/>
      </c>
      <c r="K39" s="340">
        <f>_EPRCS_VU_e8e0aca3_0301_44a2_a1be_be43f4b1255e</f>
        <v>5655</v>
      </c>
      <c r="L39" s="386">
        <v>3204</v>
      </c>
      <c r="M39" s="94">
        <v>3695</v>
      </c>
      <c r="N39" s="362">
        <v>3170</v>
      </c>
      <c r="O39" s="94">
        <v>4399</v>
      </c>
      <c r="P39" s="109">
        <v>14469</v>
      </c>
    </row>
    <row r="40" spans="1:16" ht="33.75" customHeight="1">
      <c r="A40" s="91"/>
      <c r="B40" s="95" t="s">
        <v>142</v>
      </c>
      <c r="C40" s="206"/>
      <c r="D40" s="93"/>
      <c r="E40" s="93"/>
      <c r="F40" s="108"/>
      <c r="G40" s="384">
        <f>_EPRCS_VU_f01ab0b4_2c48_4528_bedc_935a008efe3b</f>
        <v>8505</v>
      </c>
      <c r="H40" s="326">
        <f>IF(G2="Q1","",_EPRCS_VU_2fa0e1d9_1f91_4d4d_817f_9dbb3b376d70)</f>
        <v>8945</v>
      </c>
      <c r="I40" s="359" t="str">
        <f>IF(G2="Q1","",IF(G2="Q2","",_EPRCS_VU_682789fd_8a69_48d0_a05d_ffedd76d3ee7))</f>
        <v/>
      </c>
      <c r="J40" s="326" t="str">
        <f>IF(G2="Q1","",IF(G2="Q2","",IF(G2="Q3","",_EPRCS_VU_cffedbb4_af1a_459e_a03a_84d1547d4338)))</f>
        <v/>
      </c>
      <c r="K40" s="340">
        <f>_EPRCS_VU_dc50880e_1017_4126_83ea_075738a33a21</f>
        <v>17451</v>
      </c>
      <c r="L40" s="386">
        <v>7857</v>
      </c>
      <c r="M40" s="94">
        <v>7975</v>
      </c>
      <c r="N40" s="362">
        <v>8207</v>
      </c>
      <c r="O40" s="94">
        <v>8215</v>
      </c>
      <c r="P40" s="109">
        <v>32256</v>
      </c>
    </row>
    <row r="41" spans="1:16" ht="33.75" customHeight="1">
      <c r="A41" s="91"/>
      <c r="B41" s="95" t="s">
        <v>140</v>
      </c>
      <c r="C41" s="206"/>
      <c r="D41" s="93"/>
      <c r="E41" s="93"/>
      <c r="F41" s="108"/>
      <c r="G41" s="384">
        <f>_EPRCS_VU_37e040f6_e1e2_4a4c_9c8c_792d894df2a9</f>
        <v>5516</v>
      </c>
      <c r="H41" s="326">
        <f>IF(G2="Q1","",_EPRCS_VU_8bf59a77_0949_46a0_a59e_4042c5d6df89)</f>
        <v>5991</v>
      </c>
      <c r="I41" s="359" t="str">
        <f>IF(G2="Q1","",IF(G2="Q2","",_EPRCS_VU_7612406e_0cca_409a_905a_499f1f9f7bbb))</f>
        <v/>
      </c>
      <c r="J41" s="326" t="str">
        <f>IF(G2="Q1","",IF(G2="Q2","",IF(G2="Q3","",_EPRCS_VU_53b8827d_f982_48dd_8933_105906dbf55e)))</f>
        <v/>
      </c>
      <c r="K41" s="340">
        <f>_EPRCS_VU_c8f722cf_b9b1_42d8_bc27_2c6507ee95db</f>
        <v>11508</v>
      </c>
      <c r="L41" s="386">
        <v>5226</v>
      </c>
      <c r="M41" s="94">
        <v>4658</v>
      </c>
      <c r="N41" s="362">
        <v>4817</v>
      </c>
      <c r="O41" s="94">
        <v>5615</v>
      </c>
      <c r="P41" s="109">
        <v>20317</v>
      </c>
    </row>
    <row r="42" spans="1:16" ht="33.75" customHeight="1">
      <c r="A42" s="91"/>
      <c r="B42" s="95" t="s">
        <v>83</v>
      </c>
      <c r="C42" s="206"/>
      <c r="D42" s="93"/>
      <c r="E42" s="93"/>
      <c r="F42" s="108"/>
      <c r="G42" s="384">
        <f>_EPRCS_VU_e0fe5d3e_e824_4285_8d10_7c4306763472</f>
        <v>601</v>
      </c>
      <c r="H42" s="326">
        <f>IF(G2="Q1","",_EPRCS_VU_d595860a_ea2c_4a83_b53f_c6dd5f6e592b)</f>
        <v>531</v>
      </c>
      <c r="I42" s="359" t="str">
        <f>IF(G2="Q1","",IF(G2="Q2","",_EPRCS_VU_ac1d2593_7d99_484e_95bc_3eeb593d7b94))</f>
        <v/>
      </c>
      <c r="J42" s="326" t="str">
        <f>IF(G2="Q1","",IF(G2="Q2","",IF(G2="Q3","",_EPRCS_VU_91947ee3_c569_4700_8371_bbc2f633f413)))</f>
        <v/>
      </c>
      <c r="K42" s="340">
        <f>_EPRCS_VU_e58d7ef3_95eb_4405_a3ef_386de7f075d3</f>
        <v>1132</v>
      </c>
      <c r="L42" s="386">
        <v>606</v>
      </c>
      <c r="M42" s="94">
        <v>419</v>
      </c>
      <c r="N42" s="362">
        <v>717</v>
      </c>
      <c r="O42" s="94">
        <v>431</v>
      </c>
      <c r="P42" s="109">
        <v>2174</v>
      </c>
    </row>
    <row r="43" spans="1:16" ht="33.75" customHeight="1">
      <c r="A43" s="91"/>
      <c r="B43" s="95" t="s">
        <v>141</v>
      </c>
      <c r="C43" s="206"/>
      <c r="D43" s="93"/>
      <c r="E43" s="93"/>
      <c r="F43" s="108"/>
      <c r="G43" s="384">
        <v>1463</v>
      </c>
      <c r="H43" s="326">
        <v>1301</v>
      </c>
      <c r="I43" s="359">
        <v>1532</v>
      </c>
      <c r="J43" s="326" t="str">
        <f>IF(G2="Q1","",IF(G2="Q2","",IF(G2="Q3","",_EPRCS_VU_3590bb51_735a_48de_b450_a84065238984)))</f>
        <v/>
      </c>
      <c r="K43" s="340">
        <v>4297</v>
      </c>
      <c r="L43" s="386">
        <v>1158</v>
      </c>
      <c r="M43" s="94">
        <v>1330</v>
      </c>
      <c r="N43" s="362">
        <v>1119</v>
      </c>
      <c r="O43" s="94">
        <v>1581</v>
      </c>
      <c r="P43" s="109">
        <v>5190</v>
      </c>
    </row>
    <row r="44" spans="1:16" ht="33.75" customHeight="1" thickBot="1">
      <c r="A44" s="91"/>
      <c r="B44" s="98" t="s">
        <v>52</v>
      </c>
      <c r="C44" s="207"/>
      <c r="D44" s="99"/>
      <c r="E44" s="331"/>
      <c r="F44" s="332"/>
      <c r="G44" s="385">
        <f>_EPRCS_VU_7807fc6f_720f_4ecc_aaad_3f62fe1cde88</f>
        <v>45147</v>
      </c>
      <c r="H44" s="327">
        <f>IF(G2="Q1","",_EPRCS_VU_f1a2a423_0906_4014_9962_bfe2d2084e20)</f>
        <v>46870</v>
      </c>
      <c r="I44" s="360" t="str">
        <f>IF(G2="Q1","",IF(G2="Q2","",_EPRCS_VU_7fce80ec_24e5_410f_8ad8_bbb5b9534a6e))</f>
        <v/>
      </c>
      <c r="J44" s="327" t="str">
        <f>IF(G2="Q1","",IF(G2="Q2","",IF(G2="Q3","",_EPRCS_VU_9a6be98d_e9ca_49f6_9a03_304a0acd204d)))</f>
        <v/>
      </c>
      <c r="K44" s="328">
        <f>_EPRCS_VU_a185abc2_ac85_4c53_910a_cce1dcd912fe</f>
        <v>92018</v>
      </c>
      <c r="L44" s="387">
        <v>38903</v>
      </c>
      <c r="M44" s="100">
        <v>40193</v>
      </c>
      <c r="N44" s="363">
        <v>40079</v>
      </c>
      <c r="O44" s="100">
        <v>45545</v>
      </c>
      <c r="P44" s="110">
        <v>164722</v>
      </c>
    </row>
    <row r="45" spans="1:16">
      <c r="B45" s="61" t="s">
        <v>82</v>
      </c>
      <c r="C45" s="61"/>
    </row>
    <row r="46" spans="1:16" ht="15.4" customHeight="1" thickBot="1">
      <c r="A46" s="91"/>
      <c r="B46" s="92"/>
      <c r="C46" s="92"/>
      <c r="D46" s="91"/>
      <c r="E46" s="91"/>
      <c r="F46" s="91"/>
    </row>
    <row r="47" spans="1:16" ht="28.5" customHeight="1">
      <c r="A47" s="91"/>
      <c r="B47" s="598"/>
      <c r="C47" s="599"/>
      <c r="D47" s="599"/>
      <c r="E47" s="599"/>
      <c r="F47" s="599"/>
      <c r="G47" s="299"/>
      <c r="H47" s="325"/>
      <c r="I47" s="301">
        <v>45778</v>
      </c>
      <c r="J47" s="325"/>
      <c r="K47" s="302"/>
      <c r="L47" s="74"/>
      <c r="M47" s="104"/>
      <c r="N47" s="72">
        <v>45413</v>
      </c>
      <c r="O47" s="104"/>
      <c r="P47" s="68"/>
    </row>
    <row r="48" spans="1:16" ht="28.5" customHeight="1" thickBot="1">
      <c r="A48" s="91"/>
      <c r="B48" s="600"/>
      <c r="C48" s="601"/>
      <c r="D48" s="601"/>
      <c r="E48" s="601"/>
      <c r="F48" s="601"/>
      <c r="G48" s="365" t="s">
        <v>53</v>
      </c>
      <c r="H48" s="303" t="s">
        <v>54</v>
      </c>
      <c r="I48" s="391" t="s">
        <v>55</v>
      </c>
      <c r="J48" s="303" t="s">
        <v>56</v>
      </c>
      <c r="K48" s="304"/>
      <c r="L48" s="369" t="s">
        <v>53</v>
      </c>
      <c r="M48" s="69" t="s">
        <v>54</v>
      </c>
      <c r="N48" s="393" t="s">
        <v>55</v>
      </c>
      <c r="O48" s="69" t="s">
        <v>56</v>
      </c>
      <c r="P48" s="73"/>
    </row>
    <row r="49" spans="1:16" ht="33.75" customHeight="1" thickBot="1">
      <c r="A49" s="91"/>
      <c r="B49" s="333" t="s">
        <v>233</v>
      </c>
      <c r="C49" s="334"/>
      <c r="D49" s="335"/>
      <c r="E49" s="335"/>
      <c r="F49" s="336"/>
      <c r="G49" s="388">
        <v>2248</v>
      </c>
      <c r="H49" s="337">
        <v>2257</v>
      </c>
      <c r="I49" s="361">
        <v>2253</v>
      </c>
      <c r="J49" s="337"/>
      <c r="K49" s="338" t="s">
        <v>19</v>
      </c>
      <c r="L49" s="389">
        <v>2346</v>
      </c>
      <c r="M49" s="339">
        <v>2296</v>
      </c>
      <c r="N49" s="364">
        <v>2268</v>
      </c>
      <c r="O49" s="339">
        <v>2257</v>
      </c>
      <c r="P49" s="338" t="s">
        <v>19</v>
      </c>
    </row>
  </sheetData>
  <mergeCells count="20">
    <mergeCell ref="B23:F24"/>
    <mergeCell ref="B3:F4"/>
    <mergeCell ref="B5:B12"/>
    <mergeCell ref="C5:C8"/>
    <mergeCell ref="D5:F6"/>
    <mergeCell ref="D7:F8"/>
    <mergeCell ref="C9:F10"/>
    <mergeCell ref="C11:F12"/>
    <mergeCell ref="B13:F14"/>
    <mergeCell ref="B15:F16"/>
    <mergeCell ref="B17:F18"/>
    <mergeCell ref="B19:F20"/>
    <mergeCell ref="B21:P21"/>
    <mergeCell ref="B47:F48"/>
    <mergeCell ref="B25:F26"/>
    <mergeCell ref="B27:F28"/>
    <mergeCell ref="B29:F30"/>
    <mergeCell ref="B31:F32"/>
    <mergeCell ref="B33:F34"/>
    <mergeCell ref="B36:F37"/>
  </mergeCells>
  <phoneticPr fontId="2"/>
  <printOptions horizontalCentered="1" verticalCentered="1"/>
  <pageMargins left="0.23622047244094499" right="0.196850393700787" top="0.27559055118110198" bottom="0.31496062992126" header="0.511811023622047" footer="0.15748031496063"/>
  <pageSetup paperSize="9" scale="42" orientation="landscape" r:id="rId1"/>
  <headerFooter alignWithMargins="0"/>
  <rowBreaks count="1" manualBreakCount="1">
    <brk id="1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60" zoomScaleNormal="85" workbookViewId="0"/>
  </sheetViews>
  <sheetFormatPr defaultColWidth="9" defaultRowHeight="20.25" customHeight="1"/>
  <cols>
    <col min="1" max="1" width="4.1328125" style="5" customWidth="1"/>
    <col min="2" max="2" width="2.59765625" style="5" customWidth="1"/>
    <col min="3" max="3" width="40.3984375" style="5" customWidth="1"/>
    <col min="4" max="5" width="16.1328125" style="5" customWidth="1"/>
    <col min="6" max="9" width="16.1328125" style="21" customWidth="1"/>
    <col min="10" max="10" width="17" style="5" customWidth="1"/>
    <col min="11" max="19" width="17.1328125" style="5" customWidth="1"/>
    <col min="20" max="16384" width="9" style="5"/>
  </cols>
  <sheetData>
    <row r="1" spans="3:19" ht="21.75" customHeight="1">
      <c r="C1" s="2" t="s">
        <v>77</v>
      </c>
      <c r="D1" s="17"/>
      <c r="E1" s="17"/>
      <c r="F1" s="18"/>
      <c r="G1" s="18"/>
      <c r="H1" s="18"/>
      <c r="I1" s="18"/>
      <c r="J1" s="19"/>
      <c r="K1" s="20"/>
      <c r="L1" s="20"/>
      <c r="M1" s="20"/>
      <c r="N1" s="20"/>
      <c r="O1" s="20"/>
      <c r="P1" s="20"/>
      <c r="Q1" s="20"/>
      <c r="R1" s="20"/>
      <c r="S1" s="20"/>
    </row>
    <row r="2" spans="3:19" s="3" customFormat="1" ht="21.75" customHeight="1">
      <c r="C2" s="46"/>
      <c r="D2" s="47"/>
      <c r="E2" s="47"/>
      <c r="F2" s="48"/>
      <c r="G2" s="48"/>
      <c r="H2" s="48"/>
      <c r="I2" s="27"/>
      <c r="J2" s="28"/>
    </row>
    <row r="3" spans="3:19" ht="20.25" customHeight="1">
      <c r="C3" s="49"/>
      <c r="D3" s="50"/>
      <c r="E3" s="50"/>
      <c r="F3" s="48"/>
      <c r="G3" s="48"/>
      <c r="H3" s="48"/>
      <c r="I3" s="13"/>
    </row>
    <row r="4" spans="3:19" ht="11.25" customHeight="1">
      <c r="C4" s="51"/>
      <c r="D4" s="50"/>
      <c r="E4" s="50"/>
      <c r="F4" s="48"/>
      <c r="G4" s="48"/>
      <c r="H4" s="48"/>
    </row>
    <row r="5" spans="3:19" ht="20.25" customHeight="1">
      <c r="C5" s="50"/>
      <c r="D5" s="50"/>
      <c r="E5" s="50"/>
      <c r="F5" s="48"/>
      <c r="G5" s="48"/>
      <c r="H5" s="48"/>
    </row>
    <row r="6" spans="3:19" ht="20.25" customHeight="1">
      <c r="C6" s="50"/>
      <c r="D6" s="50"/>
      <c r="E6" s="50"/>
      <c r="F6" s="48"/>
      <c r="G6" s="48"/>
      <c r="H6" s="48"/>
    </row>
    <row r="7" spans="3:19" ht="20.25" customHeight="1">
      <c r="C7" s="50"/>
      <c r="D7" s="50"/>
      <c r="E7" s="50"/>
      <c r="F7" s="48"/>
      <c r="G7" s="194"/>
      <c r="H7" s="48"/>
    </row>
    <row r="8" spans="3:19" ht="20.25" customHeight="1">
      <c r="C8" s="50"/>
      <c r="D8" s="50"/>
      <c r="E8" s="50"/>
      <c r="F8" s="48"/>
      <c r="G8" s="48"/>
      <c r="H8" s="48"/>
    </row>
    <row r="9" spans="3:19" ht="20.25" customHeight="1">
      <c r="C9" s="50"/>
      <c r="D9" s="50"/>
      <c r="E9" s="50"/>
      <c r="F9" s="48"/>
      <c r="G9" s="48"/>
      <c r="H9" s="48"/>
    </row>
    <row r="10" spans="3:19" ht="20.25" customHeight="1">
      <c r="C10" s="50"/>
      <c r="D10" s="50"/>
      <c r="E10" s="50"/>
      <c r="F10" s="48"/>
      <c r="G10" s="48"/>
      <c r="H10" s="48"/>
    </row>
    <row r="11" spans="3:19" ht="20.25" customHeight="1">
      <c r="C11" s="50"/>
      <c r="D11" s="50"/>
      <c r="E11" s="50"/>
      <c r="F11" s="48"/>
      <c r="G11" s="48"/>
      <c r="H11" s="48"/>
    </row>
    <row r="12" spans="3:19" ht="20.25" customHeight="1">
      <c r="C12" s="50"/>
      <c r="D12" s="50"/>
      <c r="E12" s="50"/>
      <c r="F12" s="48"/>
      <c r="G12" s="48"/>
      <c r="H12" s="48"/>
    </row>
    <row r="13" spans="3:19" ht="20.25" customHeight="1">
      <c r="C13" s="50"/>
      <c r="D13" s="50"/>
      <c r="E13" s="50"/>
      <c r="F13" s="48"/>
      <c r="G13" s="48"/>
      <c r="H13" s="48"/>
    </row>
    <row r="14" spans="3:19" ht="20.25" customHeight="1">
      <c r="C14" s="50"/>
      <c r="D14" s="50"/>
      <c r="E14" s="50"/>
      <c r="F14" s="48"/>
      <c r="G14" s="48"/>
      <c r="H14" s="48"/>
    </row>
    <row r="15" spans="3:19" ht="20.25" customHeight="1">
      <c r="C15" s="50"/>
      <c r="D15" s="50"/>
      <c r="E15" s="50"/>
      <c r="F15" s="48"/>
      <c r="G15" s="48"/>
      <c r="H15" s="48"/>
    </row>
    <row r="16" spans="3:19" ht="20.25" customHeight="1">
      <c r="C16" s="50"/>
      <c r="D16" s="50"/>
      <c r="E16" s="50"/>
      <c r="F16" s="48"/>
      <c r="G16" s="48"/>
      <c r="H16" s="48"/>
    </row>
    <row r="17" spans="3:8" ht="20.25" customHeight="1">
      <c r="C17" s="50"/>
      <c r="D17" s="50"/>
      <c r="E17" s="50"/>
      <c r="F17" s="48"/>
      <c r="G17" s="48"/>
      <c r="H17" s="48"/>
    </row>
    <row r="18" spans="3:8" ht="20.25" customHeight="1">
      <c r="C18" s="50"/>
      <c r="D18" s="50"/>
      <c r="E18" s="50"/>
      <c r="F18" s="48"/>
      <c r="G18" s="48"/>
      <c r="H18" s="48"/>
    </row>
    <row r="19" spans="3:8" ht="20.25" customHeight="1">
      <c r="C19" s="50"/>
      <c r="D19" s="50"/>
      <c r="E19" s="50"/>
      <c r="F19" s="48"/>
      <c r="G19" s="48"/>
      <c r="H19" s="48"/>
    </row>
    <row r="20" spans="3:8" ht="20.25" customHeight="1">
      <c r="C20" s="50"/>
      <c r="D20" s="50"/>
      <c r="E20" s="50"/>
      <c r="F20" s="48"/>
      <c r="G20" s="48"/>
      <c r="H20" s="48"/>
    </row>
    <row r="21" spans="3:8" ht="20.25" customHeight="1">
      <c r="C21" s="50"/>
      <c r="D21" s="50"/>
      <c r="E21" s="50"/>
      <c r="F21" s="48"/>
      <c r="G21" s="48"/>
      <c r="H21" s="48"/>
    </row>
    <row r="22" spans="3:8" ht="20.25" customHeight="1">
      <c r="C22" s="50"/>
      <c r="D22" s="50"/>
      <c r="E22" s="50"/>
      <c r="F22" s="48"/>
      <c r="G22" s="48"/>
      <c r="H22" s="48"/>
    </row>
    <row r="23" spans="3:8" ht="20.25" customHeight="1">
      <c r="C23" s="50"/>
      <c r="D23" s="50"/>
      <c r="E23" s="50"/>
      <c r="F23" s="48"/>
      <c r="G23" s="48"/>
      <c r="H23" s="48"/>
    </row>
    <row r="24" spans="3:8" ht="20.25" customHeight="1">
      <c r="C24" s="50"/>
      <c r="D24" s="50"/>
      <c r="E24" s="50"/>
      <c r="F24" s="48"/>
      <c r="G24" s="48"/>
      <c r="H24" s="48"/>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70" zoomScaleNormal="85" zoomScaleSheetLayoutView="70" workbookViewId="0"/>
  </sheetViews>
  <sheetFormatPr defaultColWidth="9" defaultRowHeight="20.25" customHeight="1"/>
  <cols>
    <col min="1" max="1" width="2.59765625" style="5" customWidth="1"/>
    <col min="2" max="2" width="2.86328125" style="21" customWidth="1"/>
    <col min="3" max="3" width="16.1328125" style="21" customWidth="1"/>
    <col min="4" max="4" width="17" style="5" customWidth="1"/>
    <col min="5" max="13" width="17.1328125" style="5" customWidth="1"/>
    <col min="14" max="16384" width="9" style="5"/>
  </cols>
  <sheetData>
    <row r="1" spans="2:13" ht="21.75" customHeight="1">
      <c r="B1" s="18"/>
      <c r="C1" s="2" t="s">
        <v>78</v>
      </c>
      <c r="D1" s="19"/>
      <c r="E1" s="20"/>
      <c r="F1" s="20"/>
      <c r="G1" s="20"/>
      <c r="H1" s="20"/>
      <c r="I1" s="20"/>
      <c r="J1" s="20"/>
      <c r="K1" s="20"/>
      <c r="L1" s="20"/>
      <c r="M1" s="20"/>
    </row>
    <row r="2" spans="2:13" s="3" customFormat="1" ht="21.75" customHeight="1">
      <c r="B2" s="48"/>
      <c r="C2" s="48"/>
      <c r="D2" s="52"/>
      <c r="E2" s="50"/>
      <c r="F2" s="50"/>
      <c r="G2" s="50"/>
      <c r="H2" s="50"/>
      <c r="I2" s="50"/>
    </row>
    <row r="3" spans="2:13" ht="20.25" customHeight="1">
      <c r="B3" s="48"/>
      <c r="C3" s="49"/>
      <c r="D3" s="50"/>
      <c r="E3" s="50"/>
      <c r="F3" s="50"/>
      <c r="G3" s="50"/>
      <c r="H3" s="50"/>
      <c r="I3" s="50"/>
    </row>
    <row r="4" spans="2:13" ht="11.25" customHeight="1">
      <c r="B4" s="48"/>
      <c r="C4" s="48"/>
      <c r="D4" s="50"/>
      <c r="E4" s="50"/>
      <c r="F4" s="50"/>
      <c r="G4" s="50"/>
      <c r="H4" s="50"/>
      <c r="I4" s="50"/>
    </row>
    <row r="5" spans="2:13" ht="20.25" customHeight="1">
      <c r="B5" s="48"/>
      <c r="C5" s="48"/>
      <c r="D5" s="50"/>
      <c r="E5" s="50"/>
      <c r="F5" s="50"/>
      <c r="G5" s="50"/>
      <c r="H5" s="50"/>
      <c r="I5" s="50"/>
    </row>
    <row r="6" spans="2:13" ht="20.25" customHeight="1">
      <c r="B6" s="48"/>
      <c r="C6" s="48"/>
      <c r="D6" s="50"/>
      <c r="E6" s="50"/>
      <c r="F6" s="50"/>
      <c r="G6" s="50"/>
      <c r="H6" s="50"/>
      <c r="I6" s="50"/>
    </row>
    <row r="7" spans="2:13" ht="20.25" customHeight="1">
      <c r="B7" s="48"/>
      <c r="C7" s="48"/>
      <c r="D7" s="50"/>
      <c r="E7" s="50"/>
      <c r="F7" s="50"/>
      <c r="G7" s="50"/>
      <c r="H7" s="50"/>
      <c r="I7" s="50"/>
    </row>
    <row r="8" spans="2:13" ht="20.25" customHeight="1">
      <c r="B8" s="48"/>
      <c r="C8" s="48"/>
      <c r="D8" s="50"/>
      <c r="E8" s="50"/>
      <c r="F8" s="50"/>
      <c r="G8" s="50"/>
      <c r="H8" s="50"/>
      <c r="I8" s="50"/>
    </row>
    <row r="9" spans="2:13" ht="20.25" customHeight="1">
      <c r="B9" s="48"/>
      <c r="C9" s="48"/>
      <c r="D9" s="50"/>
      <c r="E9" s="50"/>
      <c r="F9" s="50"/>
      <c r="G9" s="50"/>
      <c r="H9" s="50"/>
      <c r="I9" s="50"/>
    </row>
    <row r="10" spans="2:13" ht="20.25" customHeight="1">
      <c r="B10" s="48"/>
      <c r="C10" s="48"/>
      <c r="D10" s="50"/>
      <c r="E10" s="50"/>
      <c r="F10" s="50"/>
      <c r="G10" s="50"/>
      <c r="H10" s="50"/>
      <c r="I10" s="50"/>
    </row>
    <row r="11" spans="2:13" ht="20.25" customHeight="1">
      <c r="B11" s="48"/>
      <c r="C11" s="48"/>
      <c r="D11" s="50"/>
      <c r="E11" s="50"/>
      <c r="F11" s="50"/>
      <c r="G11" s="50"/>
      <c r="H11" s="50"/>
      <c r="I11" s="50"/>
    </row>
    <row r="12" spans="2:13" ht="20.25" customHeight="1">
      <c r="B12" s="48"/>
      <c r="C12" s="48"/>
      <c r="D12" s="50"/>
      <c r="E12" s="50"/>
      <c r="F12" s="50"/>
      <c r="G12" s="50"/>
      <c r="H12" s="50"/>
      <c r="I12" s="50"/>
    </row>
    <row r="13" spans="2:13" ht="20.25" customHeight="1">
      <c r="B13" s="48"/>
      <c r="C13" s="48"/>
      <c r="D13" s="50"/>
      <c r="E13" s="50"/>
      <c r="F13" s="50"/>
      <c r="G13" s="50"/>
      <c r="H13" s="50"/>
      <c r="I13" s="50"/>
    </row>
    <row r="14" spans="2:13" ht="20.25" customHeight="1">
      <c r="B14" s="48"/>
      <c r="C14" s="48"/>
      <c r="D14" s="50"/>
      <c r="E14" s="50"/>
      <c r="F14" s="50"/>
      <c r="G14" s="50"/>
      <c r="H14" s="50"/>
      <c r="I14" s="50"/>
    </row>
    <row r="15" spans="2:13" ht="20.25" customHeight="1">
      <c r="B15" s="48"/>
      <c r="C15" s="48"/>
      <c r="D15" s="50"/>
      <c r="E15" s="50"/>
      <c r="F15" s="50"/>
      <c r="G15" s="50"/>
      <c r="H15" s="50"/>
      <c r="I15" s="50"/>
    </row>
    <row r="16" spans="2:13" ht="20.25" customHeight="1">
      <c r="B16" s="48"/>
      <c r="C16" s="48"/>
      <c r="D16" s="50"/>
      <c r="E16" s="50"/>
      <c r="F16" s="50"/>
      <c r="G16" s="50"/>
      <c r="H16" s="50"/>
      <c r="I16" s="50"/>
    </row>
    <row r="17" spans="2:9" ht="20.25" customHeight="1">
      <c r="B17" s="48"/>
      <c r="C17" s="48"/>
      <c r="D17" s="50"/>
      <c r="E17" s="50"/>
      <c r="F17" s="50"/>
      <c r="G17" s="50"/>
      <c r="H17" s="50"/>
      <c r="I17" s="50"/>
    </row>
    <row r="18" spans="2:9" ht="20.25" customHeight="1">
      <c r="B18" s="48"/>
      <c r="C18" s="48"/>
      <c r="D18" s="50"/>
      <c r="E18" s="50"/>
      <c r="F18" s="50"/>
      <c r="G18" s="50"/>
      <c r="H18" s="50"/>
      <c r="I18" s="50"/>
    </row>
    <row r="19" spans="2:9" ht="20.25" customHeight="1">
      <c r="B19" s="48"/>
      <c r="C19" s="48"/>
      <c r="D19" s="50"/>
      <c r="E19" s="50"/>
      <c r="F19" s="50"/>
      <c r="G19" s="50"/>
      <c r="H19" s="50"/>
      <c r="I19" s="50"/>
    </row>
    <row r="20" spans="2:9" ht="20.25" customHeight="1">
      <c r="B20" s="48"/>
      <c r="C20" s="48"/>
      <c r="D20" s="50"/>
      <c r="E20" s="50"/>
      <c r="F20" s="50"/>
      <c r="G20" s="50"/>
      <c r="H20" s="50"/>
      <c r="I20" s="50"/>
    </row>
    <row r="21" spans="2:9" ht="20.25" customHeight="1">
      <c r="B21" s="48"/>
      <c r="C21" s="48"/>
      <c r="D21" s="50"/>
      <c r="E21" s="50"/>
      <c r="F21" s="50"/>
      <c r="G21" s="50"/>
      <c r="H21" s="50"/>
      <c r="I21" s="50"/>
    </row>
    <row r="22" spans="2:9" ht="20.25" customHeight="1">
      <c r="B22" s="48"/>
      <c r="C22" s="48"/>
      <c r="D22" s="50"/>
      <c r="E22" s="50"/>
      <c r="F22" s="50"/>
      <c r="G22" s="50"/>
      <c r="H22" s="50"/>
      <c r="I22" s="50"/>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1"/>
  <sheetViews>
    <sheetView showGridLines="0" view="pageBreakPreview" zoomScale="50" zoomScaleNormal="70" zoomScaleSheetLayoutView="50" workbookViewId="0">
      <pane xSplit="3" topLeftCell="D1" activePane="topRight" state="frozen"/>
      <selection pane="topRight"/>
    </sheetView>
  </sheetViews>
  <sheetFormatPr defaultColWidth="9" defaultRowHeight="20.25" customHeight="1"/>
  <cols>
    <col min="1" max="1" width="3.1328125" style="32" customWidth="1"/>
    <col min="2" max="2" width="3.86328125" style="32" customWidth="1"/>
    <col min="3" max="3" width="50.86328125" style="32" customWidth="1"/>
    <col min="4" max="5" width="13.59765625" style="37" customWidth="1"/>
    <col min="6" max="6" width="13.59765625" style="38" customWidth="1"/>
    <col min="7" max="7" width="13.59765625" style="105" customWidth="1"/>
    <col min="8" max="10" width="13.59765625" style="37" customWidth="1"/>
    <col min="11" max="11" width="13.59765625" style="39" customWidth="1"/>
    <col min="12" max="12" width="13.59765625" style="31" customWidth="1"/>
    <col min="13" max="13" width="13.59765625" style="36" customWidth="1"/>
    <col min="14" max="15" width="13.59765625" style="37" customWidth="1"/>
    <col min="16" max="16" width="13.59765625" style="39" customWidth="1"/>
    <col min="17" max="17" width="13.59765625" style="31" customWidth="1"/>
    <col min="18" max="16384" width="9" style="36"/>
  </cols>
  <sheetData>
    <row r="1" spans="1:17" ht="23" customHeight="1">
      <c r="B1" s="170" t="s">
        <v>74</v>
      </c>
      <c r="C1" s="171"/>
      <c r="D1" s="33"/>
      <c r="E1" s="33"/>
      <c r="F1" s="34"/>
      <c r="G1" s="34"/>
      <c r="H1" s="33"/>
      <c r="I1" s="33"/>
      <c r="J1" s="33"/>
      <c r="K1" s="35"/>
      <c r="L1" s="34"/>
      <c r="M1" s="101"/>
      <c r="N1" s="33"/>
      <c r="O1" s="33"/>
      <c r="P1" s="35"/>
      <c r="Q1" s="33"/>
    </row>
    <row r="2" spans="1:17" ht="20.25" customHeight="1" thickBot="1">
      <c r="B2" s="191" t="str">
        <f>_EPRCS_VU_e4cff6d0_958f_4039_879c_2b8900534e35</f>
        <v>Q2</v>
      </c>
      <c r="C2" s="149"/>
      <c r="F2" s="36"/>
      <c r="H2" s="102"/>
      <c r="J2" s="398"/>
      <c r="M2" s="102" t="s">
        <v>35</v>
      </c>
    </row>
    <row r="3" spans="1:17" s="41" customFormat="1" ht="25.5" customHeight="1">
      <c r="A3" s="40"/>
      <c r="B3" s="172"/>
      <c r="C3" s="173"/>
      <c r="D3" s="202"/>
      <c r="E3" s="204"/>
      <c r="F3" s="330">
        <v>46143</v>
      </c>
      <c r="G3" s="192"/>
      <c r="H3" s="193">
        <v>45047</v>
      </c>
      <c r="I3" s="232"/>
      <c r="J3" s="232"/>
      <c r="K3" s="233">
        <v>45778</v>
      </c>
      <c r="L3" s="234"/>
      <c r="M3" s="235">
        <v>45778</v>
      </c>
      <c r="N3" s="236">
        <v>45413</v>
      </c>
      <c r="O3" s="237">
        <v>45047</v>
      </c>
      <c r="P3" s="237">
        <v>44682</v>
      </c>
      <c r="Q3" s="238">
        <v>44317</v>
      </c>
    </row>
    <row r="4" spans="1:17" s="43" customFormat="1" ht="25.5" customHeight="1" thickBot="1">
      <c r="A4" s="42"/>
      <c r="B4" s="174"/>
      <c r="C4" s="175"/>
      <c r="D4" s="502" t="s">
        <v>53</v>
      </c>
      <c r="E4" s="529" t="s">
        <v>104</v>
      </c>
      <c r="F4" s="399" t="s">
        <v>103</v>
      </c>
      <c r="G4" s="400" t="s">
        <v>56</v>
      </c>
      <c r="H4" s="112" t="s">
        <v>57</v>
      </c>
      <c r="I4" s="515" t="s">
        <v>53</v>
      </c>
      <c r="J4" s="539" t="s">
        <v>54</v>
      </c>
      <c r="K4" s="429" t="s">
        <v>55</v>
      </c>
      <c r="L4" s="239" t="s">
        <v>56</v>
      </c>
      <c r="M4" s="240" t="s">
        <v>57</v>
      </c>
      <c r="N4" s="241" t="s">
        <v>57</v>
      </c>
      <c r="O4" s="239" t="s">
        <v>57</v>
      </c>
      <c r="P4" s="239" t="s">
        <v>57</v>
      </c>
      <c r="Q4" s="242" t="s">
        <v>57</v>
      </c>
    </row>
    <row r="5" spans="1:17" s="43" customFormat="1" ht="33.75" customHeight="1">
      <c r="A5" s="42"/>
      <c r="B5" s="176" t="s">
        <v>123</v>
      </c>
      <c r="C5" s="177"/>
      <c r="D5" s="503">
        <f>_EPRCS_VU_a7b1219e_6b33_4641_a3cb_a70ed69753a3</f>
        <v>66275</v>
      </c>
      <c r="E5" s="530">
        <f>IF(B2="Q1","",_EPRCS_VU_fa7a35cb_5c76_4ad9_8d2a_bdd90c90a01a)</f>
        <v>68401</v>
      </c>
      <c r="F5" s="401" t="str">
        <f>IF(B2="Q1","",IF(B2="Q2","",_EPRCS_VU_f728f235_7bc3_4fb1_9954_54fd0325275a))</f>
        <v/>
      </c>
      <c r="G5" s="402" t="str">
        <f>IF(B2="Q1","",IF(B2="Q2","",IF(B2="Q3","",_EPRCS_VU_548e0434_0e4e_40a1_82c2_8156e06fa6c5)))</f>
        <v/>
      </c>
      <c r="H5" s="145">
        <f>_EPRCS_VU_fbc0e8e1_e7fa_43e1_9228_eee73c606e8d</f>
        <v>134677</v>
      </c>
      <c r="I5" s="516">
        <v>63915</v>
      </c>
      <c r="J5" s="540">
        <v>61379</v>
      </c>
      <c r="K5" s="430">
        <v>67597</v>
      </c>
      <c r="L5" s="243">
        <v>70618</v>
      </c>
      <c r="M5" s="244">
        <v>263510</v>
      </c>
      <c r="N5" s="245">
        <v>244542</v>
      </c>
      <c r="O5" s="243">
        <v>226914</v>
      </c>
      <c r="P5" s="243">
        <v>214691</v>
      </c>
      <c r="Q5" s="246">
        <v>208523</v>
      </c>
    </row>
    <row r="6" spans="1:17" ht="33.75" customHeight="1">
      <c r="B6" s="176" t="s">
        <v>126</v>
      </c>
      <c r="C6" s="177"/>
      <c r="D6" s="504">
        <f>_EPRCS_VU_80f58965_d555_471e_924c_634777cad9b2</f>
        <v>36666</v>
      </c>
      <c r="E6" s="531">
        <f>IF(B2="Q1","",_EPRCS_VU_0731383a_6c8f_48a0_a213_4ee6a445b74e)</f>
        <v>37593</v>
      </c>
      <c r="F6" s="403" t="str">
        <f>IF(B2="Q1","",IF(B2="Q2","",_EPRCS_VU_479eaece_9ccb_4414_b8df_8f0330525003))</f>
        <v/>
      </c>
      <c r="G6" s="404" t="str">
        <f>IF(B2="Q1","",IF(B2="Q2","",IF(B2="Q3","",_EPRCS_VU_1f4b8a16_8347_4ac4_ad32_ed34fd72583e)))</f>
        <v/>
      </c>
      <c r="H6" s="487">
        <f>_EPRCS_VU_10673e10_51d2_447a_883d_ebbdf63ef536</f>
        <v>74260</v>
      </c>
      <c r="I6" s="517">
        <v>33500</v>
      </c>
      <c r="J6" s="541">
        <v>33390</v>
      </c>
      <c r="K6" s="431">
        <v>36747</v>
      </c>
      <c r="L6" s="247">
        <v>38485</v>
      </c>
      <c r="M6" s="248">
        <v>142123</v>
      </c>
      <c r="N6" s="249">
        <v>130996</v>
      </c>
      <c r="O6" s="247">
        <v>118622</v>
      </c>
      <c r="P6" s="247">
        <v>109139</v>
      </c>
      <c r="Q6" s="250">
        <v>106764</v>
      </c>
    </row>
    <row r="7" spans="1:17" ht="33.75" customHeight="1">
      <c r="B7" s="178" t="s">
        <v>124</v>
      </c>
      <c r="C7" s="179"/>
      <c r="D7" s="504">
        <f>_EPRCS_VU_8e856597_aa1e_4905_92cb_7dd8be51cabc</f>
        <v>29608</v>
      </c>
      <c r="E7" s="531">
        <f>IF(B2="Q1","",_EPRCS_VU_a408cc9d_f638_4f7a_bcd6_e3eee1485d91)</f>
        <v>30808</v>
      </c>
      <c r="F7" s="403" t="str">
        <f>IF(B2="Q1","",IF(B2="Q2","",_EPRCS_VU_a0af4ec1_ebb8_4611_89b8_a6050bf204d1))</f>
        <v/>
      </c>
      <c r="G7" s="404" t="str">
        <f>IF(B2="Q1","",IF(B2="Q2","",IF(B2="Q3","",_EPRCS_VU_d026f629_ff5a_4250_be69_93bfbc5530a5)))</f>
        <v/>
      </c>
      <c r="H7" s="488">
        <f>_EPRCS_VU_4ca53957_7ac6_4ef2_8a8d_5897cfe3269b</f>
        <v>60416</v>
      </c>
      <c r="I7" s="517">
        <v>30415</v>
      </c>
      <c r="J7" s="541">
        <v>27989</v>
      </c>
      <c r="K7" s="431">
        <v>30849</v>
      </c>
      <c r="L7" s="247">
        <v>32133</v>
      </c>
      <c r="M7" s="248">
        <v>121387</v>
      </c>
      <c r="N7" s="249">
        <v>113545</v>
      </c>
      <c r="O7" s="247">
        <v>108292</v>
      </c>
      <c r="P7" s="247">
        <v>105551</v>
      </c>
      <c r="Q7" s="250">
        <v>101758</v>
      </c>
    </row>
    <row r="8" spans="1:17" ht="33.75" customHeight="1">
      <c r="B8" s="176" t="s">
        <v>125</v>
      </c>
      <c r="C8" s="177"/>
      <c r="D8" s="504">
        <f>_EPRCS_VU_12e224f8_97bf_40d6_b292_9e1979be3b9e</f>
        <v>8480</v>
      </c>
      <c r="E8" s="531">
        <f>IF(B2="Q1","",_EPRCS_VU_892ff40a_2ad6_43a5_bd90_cca9157530a0)</f>
        <v>9276</v>
      </c>
      <c r="F8" s="403" t="str">
        <f>IF(B2="Q1","",IF(B2="Q2","",_EPRCS_VU_c41cdf57_147d_4e9e_929e_b0ccf9b93e77))</f>
        <v/>
      </c>
      <c r="G8" s="404" t="str">
        <f>IF(B2="Q1","",IF(B2="Q2","",IF(B2="Q3","",_EPRCS_VU_45e26d8b_daf7_4ebb_ac98_c3605167486b)))</f>
        <v/>
      </c>
      <c r="H8" s="488">
        <f>_EPRCS_VU_8d788a00_8d33_4f4d_a68f_e55beb3bd24e</f>
        <v>17757</v>
      </c>
      <c r="I8" s="517">
        <v>8220</v>
      </c>
      <c r="J8" s="541">
        <v>8270</v>
      </c>
      <c r="K8" s="431">
        <v>8543</v>
      </c>
      <c r="L8" s="247">
        <v>9520</v>
      </c>
      <c r="M8" s="248">
        <v>34555</v>
      </c>
      <c r="N8" s="249">
        <v>33725</v>
      </c>
      <c r="O8" s="247">
        <v>33895</v>
      </c>
      <c r="P8" s="247">
        <v>32337</v>
      </c>
      <c r="Q8" s="250">
        <v>30854</v>
      </c>
    </row>
    <row r="9" spans="1:17" ht="33.75" customHeight="1">
      <c r="B9" s="178" t="s">
        <v>97</v>
      </c>
      <c r="C9" s="179"/>
      <c r="D9" s="505">
        <f>_EPRCS_VU_1dc0c384_8a89_488b_9cb5_b8baad0459ab</f>
        <v>21128</v>
      </c>
      <c r="E9" s="556">
        <f>IF(B2="Q1","",_EPRCS_VU_ffad3a57_b325_4c51_aebd_5d7b7e376450)</f>
        <v>21531</v>
      </c>
      <c r="F9" s="405" t="str">
        <f>IF(B2="Q1","",IF(B2="Q2","",_EPRCS_VU_4cf9abab_52cc_4776_8c15_b5d780babf72))</f>
        <v/>
      </c>
      <c r="G9" s="406" t="str">
        <f>IF(B2="Q1","",IF(B2="Q2","",IF(B2="Q3","",_EPRCS_VU_bb3ef813_ff35_482c_8207_9fef32ddab2f)))</f>
        <v/>
      </c>
      <c r="H9" s="559">
        <f>_EPRCS_VU_7daa0f50_2789_4855_8e00_fe52311ff3f4</f>
        <v>42659</v>
      </c>
      <c r="I9" s="518">
        <v>22194</v>
      </c>
      <c r="J9" s="542">
        <v>19718</v>
      </c>
      <c r="K9" s="432">
        <v>22306</v>
      </c>
      <c r="L9" s="251">
        <v>22612</v>
      </c>
      <c r="M9" s="252">
        <v>86832</v>
      </c>
      <c r="N9" s="249">
        <v>79820</v>
      </c>
      <c r="O9" s="247">
        <v>74396</v>
      </c>
      <c r="P9" s="247">
        <v>73213</v>
      </c>
      <c r="Q9" s="250">
        <v>70904</v>
      </c>
    </row>
    <row r="10" spans="1:17" s="45" customFormat="1" ht="25.5" customHeight="1">
      <c r="A10" s="44"/>
      <c r="B10" s="180"/>
      <c r="C10" s="181" t="s">
        <v>127</v>
      </c>
      <c r="D10" s="506" t="str">
        <f>_EPRCS_VU_a5431a5d_34ee_4e2e_a228_5b21607c0593</f>
        <v>31.9%</v>
      </c>
      <c r="E10" s="557" t="str">
        <f>IF(B2="Q1","",_EPRCS_VU_ae4dc170_48a7_4bb6_834d_329dc17f20f3)</f>
        <v>31.5%</v>
      </c>
      <c r="F10" s="407" t="str">
        <f>IF(B2="Q1","",IF(B2="Q2","",_EPRCS_VU_fccefec5_b3a6_4c89_8745_497a05288931))</f>
        <v/>
      </c>
      <c r="G10" s="408" t="str">
        <f>IF(B2="Q1","",IF(B2="Q2","",IF(B2="Q3","",_EPRCS_VU_844b095d_e245_4f20_a627_7d26afde7c23)))</f>
        <v/>
      </c>
      <c r="H10" s="489" t="str">
        <f>_EPRCS_VU_72ff9459_6c4e_44cd_a1a3_6a8d3ae9c49e</f>
        <v>31.7%</v>
      </c>
      <c r="I10" s="519" t="s">
        <v>239</v>
      </c>
      <c r="J10" s="543" t="s">
        <v>240</v>
      </c>
      <c r="K10" s="433" t="s">
        <v>241</v>
      </c>
      <c r="L10" s="253" t="s">
        <v>242</v>
      </c>
      <c r="M10" s="254" t="s">
        <v>241</v>
      </c>
      <c r="N10" s="255" t="s">
        <v>188</v>
      </c>
      <c r="O10" s="256" t="s">
        <v>170</v>
      </c>
      <c r="P10" s="256" t="s">
        <v>165</v>
      </c>
      <c r="Q10" s="257" t="s">
        <v>159</v>
      </c>
    </row>
    <row r="11" spans="1:17" ht="33.75" customHeight="1">
      <c r="B11" s="176" t="s">
        <v>128</v>
      </c>
      <c r="C11" s="177"/>
      <c r="D11" s="504">
        <f>_EPRCS_VU_17ee33e2_5838_463d_a0a4_68729ad9ad40</f>
        <v>21369</v>
      </c>
      <c r="E11" s="531">
        <f>IF(B2="Q1","",_EPRCS_VU_fb5086d9_0dd1_4b76_be4d_587cd86c41df)</f>
        <v>21809</v>
      </c>
      <c r="F11" s="403" t="str">
        <f>IF(B2="Q1","",IF(B2="Q2","",_EPRCS_VU_77744b77_faa9_4069_87dd_2811b6b6588d))</f>
        <v/>
      </c>
      <c r="G11" s="404" t="str">
        <f>IF(B2="Q1","",IF(B2="Q2","",IF(B2="Q3","",_EPRCS_VU_be9d34f8_3694_4963_be85_dfb909845d7d)))</f>
        <v/>
      </c>
      <c r="H11" s="488">
        <f>_EPRCS_VU_9b50abb8_873c_4da9_9247_0c45161664a4</f>
        <v>43178</v>
      </c>
      <c r="I11" s="517">
        <v>22193</v>
      </c>
      <c r="J11" s="541">
        <v>20163</v>
      </c>
      <c r="K11" s="431">
        <v>22396</v>
      </c>
      <c r="L11" s="247">
        <v>22701</v>
      </c>
      <c r="M11" s="248">
        <v>87454</v>
      </c>
      <c r="N11" s="249">
        <v>80277</v>
      </c>
      <c r="O11" s="247">
        <v>74681</v>
      </c>
      <c r="P11" s="247">
        <v>73543</v>
      </c>
      <c r="Q11" s="250">
        <v>70904</v>
      </c>
    </row>
    <row r="12" spans="1:17" ht="33.75" customHeight="1" thickBot="1">
      <c r="B12" s="182" t="s">
        <v>129</v>
      </c>
      <c r="C12" s="183"/>
      <c r="D12" s="507">
        <f>_EPRCS_VU_74f506f9_5ec4_415a_830a_877d8cd35cf9</f>
        <v>14805</v>
      </c>
      <c r="E12" s="558">
        <f>IF(B2="Q1","",_EPRCS_VU_013f7dec_eab5_4167_9f76_a41d36d69298)</f>
        <v>15107</v>
      </c>
      <c r="F12" s="409" t="str">
        <f>IF(B2="Q1","",IF(B2="Q2","",_EPRCS_VU_41ffecaf_5635_4d44_96e5_034575201c14))</f>
        <v/>
      </c>
      <c r="G12" s="410" t="str">
        <f>IF(B2="Q1","",IF(B2="Q2","",IF(B2="Q3","",_EPRCS_VU_37f4219c_bd5c_4305_93cf_ed3352452d4d)))</f>
        <v/>
      </c>
      <c r="H12" s="560">
        <f>_EPRCS_VU_749e8515_c79c_49d0_8a3e_5bf4893d17d7</f>
        <v>29913</v>
      </c>
      <c r="I12" s="520">
        <v>15374</v>
      </c>
      <c r="J12" s="544">
        <v>13968</v>
      </c>
      <c r="K12" s="434">
        <v>15514</v>
      </c>
      <c r="L12" s="258">
        <v>15868</v>
      </c>
      <c r="M12" s="259">
        <v>60725</v>
      </c>
      <c r="N12" s="260">
        <v>55603</v>
      </c>
      <c r="O12" s="258">
        <v>52009</v>
      </c>
      <c r="P12" s="258">
        <v>51182</v>
      </c>
      <c r="Q12" s="261">
        <v>49175</v>
      </c>
    </row>
    <row r="13" spans="1:17" s="43" customFormat="1" ht="33.75" customHeight="1">
      <c r="A13" s="42"/>
      <c r="B13" s="184" t="s">
        <v>130</v>
      </c>
      <c r="C13" s="185"/>
      <c r="D13" s="508">
        <v>297616</v>
      </c>
      <c r="E13" s="532">
        <v>315596</v>
      </c>
      <c r="F13" s="411"/>
      <c r="G13" s="412"/>
      <c r="H13" s="490" t="s">
        <v>19</v>
      </c>
      <c r="I13" s="521">
        <v>262135</v>
      </c>
      <c r="J13" s="545">
        <v>274125</v>
      </c>
      <c r="K13" s="435">
        <v>271815</v>
      </c>
      <c r="L13" s="262">
        <v>316403</v>
      </c>
      <c r="M13" s="263" t="s">
        <v>19</v>
      </c>
      <c r="N13" s="264">
        <v>340159</v>
      </c>
      <c r="O13" s="262">
        <v>281015</v>
      </c>
      <c r="P13" s="262">
        <v>236868</v>
      </c>
      <c r="Q13" s="265">
        <v>333999</v>
      </c>
    </row>
    <row r="14" spans="1:17" s="32" customFormat="1" ht="33.75" customHeight="1">
      <c r="B14" s="178"/>
      <c r="C14" s="179" t="s">
        <v>131</v>
      </c>
      <c r="D14" s="509">
        <v>184503</v>
      </c>
      <c r="E14" s="533">
        <v>201195</v>
      </c>
      <c r="F14" s="413"/>
      <c r="G14" s="414"/>
      <c r="H14" s="561" t="s">
        <v>19</v>
      </c>
      <c r="I14" s="522">
        <v>39958</v>
      </c>
      <c r="J14" s="546">
        <v>51781</v>
      </c>
      <c r="K14" s="436">
        <v>159417</v>
      </c>
      <c r="L14" s="266">
        <v>203861</v>
      </c>
      <c r="M14" s="267" t="s">
        <v>19</v>
      </c>
      <c r="N14" s="268">
        <v>118829</v>
      </c>
      <c r="O14" s="266">
        <v>130831</v>
      </c>
      <c r="P14" s="266">
        <v>84800</v>
      </c>
      <c r="Q14" s="269">
        <v>81038</v>
      </c>
    </row>
    <row r="15" spans="1:17" s="32" customFormat="1" ht="33.75" customHeight="1">
      <c r="B15" s="176"/>
      <c r="C15" s="186" t="s">
        <v>132</v>
      </c>
      <c r="D15" s="510">
        <v>113112</v>
      </c>
      <c r="E15" s="534">
        <v>114400</v>
      </c>
      <c r="F15" s="415"/>
      <c r="G15" s="416"/>
      <c r="H15" s="561" t="s">
        <v>19</v>
      </c>
      <c r="I15" s="523">
        <v>222177</v>
      </c>
      <c r="J15" s="547">
        <v>222344</v>
      </c>
      <c r="K15" s="437">
        <v>112398</v>
      </c>
      <c r="L15" s="270">
        <v>112542</v>
      </c>
      <c r="M15" s="271" t="s">
        <v>19</v>
      </c>
      <c r="N15" s="272">
        <v>221329</v>
      </c>
      <c r="O15" s="270">
        <v>150184</v>
      </c>
      <c r="P15" s="270">
        <v>152068</v>
      </c>
      <c r="Q15" s="273">
        <v>252960</v>
      </c>
    </row>
    <row r="16" spans="1:17" ht="33.75" customHeight="1">
      <c r="B16" s="178" t="s">
        <v>133</v>
      </c>
      <c r="C16" s="179"/>
      <c r="D16" s="511">
        <v>143468</v>
      </c>
      <c r="E16" s="535">
        <v>144530</v>
      </c>
      <c r="F16" s="417"/>
      <c r="G16" s="418"/>
      <c r="H16" s="487" t="s">
        <v>19</v>
      </c>
      <c r="I16" s="524">
        <v>141423</v>
      </c>
      <c r="J16" s="548">
        <v>138320</v>
      </c>
      <c r="K16" s="438">
        <v>124046</v>
      </c>
      <c r="L16" s="274">
        <v>152722</v>
      </c>
      <c r="M16" s="275" t="s">
        <v>19</v>
      </c>
      <c r="N16" s="276">
        <v>148363</v>
      </c>
      <c r="O16" s="274">
        <v>125161</v>
      </c>
      <c r="P16" s="274">
        <v>111513</v>
      </c>
      <c r="Q16" s="277">
        <v>113999</v>
      </c>
    </row>
    <row r="17" spans="2:17" ht="33.75" customHeight="1" thickBot="1">
      <c r="B17" s="187" t="s">
        <v>134</v>
      </c>
      <c r="C17" s="188"/>
      <c r="D17" s="504">
        <v>154147</v>
      </c>
      <c r="E17" s="531">
        <v>171066</v>
      </c>
      <c r="F17" s="419"/>
      <c r="G17" s="420"/>
      <c r="H17" s="488" t="s">
        <v>19</v>
      </c>
      <c r="I17" s="525">
        <v>120711</v>
      </c>
      <c r="J17" s="541">
        <v>135755</v>
      </c>
      <c r="K17" s="431">
        <v>147768</v>
      </c>
      <c r="L17" s="247">
        <v>163681</v>
      </c>
      <c r="M17" s="278" t="s">
        <v>19</v>
      </c>
      <c r="N17" s="249">
        <v>191795</v>
      </c>
      <c r="O17" s="247">
        <v>155854</v>
      </c>
      <c r="P17" s="247">
        <v>125355</v>
      </c>
      <c r="Q17" s="250">
        <v>219999</v>
      </c>
    </row>
    <row r="18" spans="2:17" ht="33.75" customHeight="1">
      <c r="B18" s="189" t="s">
        <v>121</v>
      </c>
      <c r="C18" s="189"/>
      <c r="D18" s="512" t="s">
        <v>19</v>
      </c>
      <c r="E18" s="536" t="s">
        <v>187</v>
      </c>
      <c r="F18" s="463" t="s">
        <v>19</v>
      </c>
      <c r="G18" s="421" t="s">
        <v>19</v>
      </c>
      <c r="H18" s="145" t="s">
        <v>184</v>
      </c>
      <c r="I18" s="526" t="s">
        <v>19</v>
      </c>
      <c r="J18" s="549" t="s">
        <v>19</v>
      </c>
      <c r="K18" s="439" t="s">
        <v>19</v>
      </c>
      <c r="L18" s="279" t="s">
        <v>19</v>
      </c>
      <c r="M18" s="280">
        <v>1847</v>
      </c>
      <c r="N18" s="281">
        <v>596</v>
      </c>
      <c r="O18" s="282">
        <v>540</v>
      </c>
      <c r="P18" s="282">
        <v>652</v>
      </c>
      <c r="Q18" s="283">
        <v>105</v>
      </c>
    </row>
    <row r="19" spans="2:17" ht="33.75" customHeight="1">
      <c r="B19" s="190" t="s">
        <v>122</v>
      </c>
      <c r="C19" s="190"/>
      <c r="D19" s="513" t="s">
        <v>19</v>
      </c>
      <c r="E19" s="537" t="s">
        <v>186</v>
      </c>
      <c r="F19" s="464" t="s">
        <v>19</v>
      </c>
      <c r="G19" s="422" t="s">
        <v>19</v>
      </c>
      <c r="H19" s="146" t="s">
        <v>184</v>
      </c>
      <c r="I19" s="527" t="s">
        <v>19</v>
      </c>
      <c r="J19" s="550" t="s">
        <v>19</v>
      </c>
      <c r="K19" s="440" t="s">
        <v>19</v>
      </c>
      <c r="L19" s="284" t="s">
        <v>19</v>
      </c>
      <c r="M19" s="285">
        <v>1259</v>
      </c>
      <c r="N19" s="286">
        <v>1311</v>
      </c>
      <c r="O19" s="287">
        <v>1333</v>
      </c>
      <c r="P19" s="287">
        <v>1653</v>
      </c>
      <c r="Q19" s="288">
        <v>2049</v>
      </c>
    </row>
    <row r="20" spans="2:17" ht="33.75" customHeight="1">
      <c r="B20" s="190" t="s">
        <v>119</v>
      </c>
      <c r="C20" s="190"/>
      <c r="D20" s="513" t="s">
        <v>19</v>
      </c>
      <c r="E20" s="537" t="s">
        <v>186</v>
      </c>
      <c r="F20" s="464" t="s">
        <v>19</v>
      </c>
      <c r="G20" s="422" t="s">
        <v>19</v>
      </c>
      <c r="H20" s="146" t="s">
        <v>19</v>
      </c>
      <c r="I20" s="527" t="s">
        <v>19</v>
      </c>
      <c r="J20" s="550" t="s">
        <v>19</v>
      </c>
      <c r="K20" s="440" t="s">
        <v>19</v>
      </c>
      <c r="L20" s="284" t="s">
        <v>19</v>
      </c>
      <c r="M20" s="285">
        <v>190</v>
      </c>
      <c r="N20" s="286">
        <v>674</v>
      </c>
      <c r="O20" s="287">
        <v>162</v>
      </c>
      <c r="P20" s="287">
        <v>160</v>
      </c>
      <c r="Q20" s="288">
        <v>1146</v>
      </c>
    </row>
    <row r="21" spans="2:17" ht="33.5" customHeight="1">
      <c r="B21" s="190" t="s">
        <v>120</v>
      </c>
      <c r="C21" s="190"/>
      <c r="D21" s="514" t="s">
        <v>19</v>
      </c>
      <c r="E21" s="538" t="s">
        <v>186</v>
      </c>
      <c r="F21" s="424" t="s">
        <v>19</v>
      </c>
      <c r="G21" s="423" t="s">
        <v>19</v>
      </c>
      <c r="H21" s="146" t="s">
        <v>19</v>
      </c>
      <c r="I21" s="528" t="s">
        <v>19</v>
      </c>
      <c r="J21" s="551" t="s">
        <v>19</v>
      </c>
      <c r="K21" s="441" t="s">
        <v>19</v>
      </c>
      <c r="L21" s="289" t="s">
        <v>19</v>
      </c>
      <c r="M21" s="290">
        <v>40.1</v>
      </c>
      <c r="N21" s="291">
        <v>155.19999999999999</v>
      </c>
      <c r="O21" s="292">
        <v>39.9</v>
      </c>
      <c r="P21" s="292">
        <v>40</v>
      </c>
      <c r="Q21" s="293">
        <v>298.5</v>
      </c>
    </row>
    <row r="22" spans="2:17" ht="33.5" hidden="1" customHeight="1" thickBot="1">
      <c r="B22" s="182" t="s">
        <v>135</v>
      </c>
      <c r="C22" s="183"/>
      <c r="D22" s="427">
        <v>2270</v>
      </c>
      <c r="E22" s="397"/>
      <c r="F22" s="425"/>
      <c r="G22" s="426"/>
      <c r="H22" s="147" t="s">
        <v>19</v>
      </c>
      <c r="I22" s="428">
        <v>2245</v>
      </c>
      <c r="J22" s="294">
        <v>2254</v>
      </c>
      <c r="K22" s="442">
        <v>2250</v>
      </c>
      <c r="L22" s="294">
        <v>2258</v>
      </c>
      <c r="M22" s="295" t="s">
        <v>19</v>
      </c>
      <c r="N22" s="296">
        <v>2257</v>
      </c>
      <c r="O22" s="294">
        <v>2398</v>
      </c>
      <c r="P22" s="297">
        <v>2430</v>
      </c>
      <c r="Q22" s="298">
        <v>2407</v>
      </c>
    </row>
    <row r="23" spans="2:17" ht="20.25" customHeight="1">
      <c r="B23" s="148" t="s">
        <v>290</v>
      </c>
      <c r="C23" s="149"/>
      <c r="D23" s="203"/>
      <c r="E23" s="203"/>
      <c r="F23" s="205"/>
      <c r="G23" s="152"/>
      <c r="H23" s="150"/>
      <c r="I23" s="203"/>
      <c r="J23" s="203"/>
      <c r="K23" s="443"/>
      <c r="L23" s="154"/>
      <c r="M23" s="155"/>
      <c r="N23" s="150"/>
      <c r="O23" s="150"/>
      <c r="P23" s="153"/>
      <c r="Q23" s="154"/>
    </row>
    <row r="24" spans="2:17" ht="20.25" customHeight="1">
      <c r="B24" s="156" t="s">
        <v>160</v>
      </c>
      <c r="C24" s="149"/>
      <c r="D24" s="150"/>
      <c r="E24" s="203"/>
      <c r="F24" s="205"/>
      <c r="G24" s="152"/>
      <c r="H24" s="150"/>
      <c r="I24" s="203"/>
      <c r="J24" s="203"/>
      <c r="K24" s="443"/>
      <c r="L24" s="154"/>
      <c r="M24" s="155"/>
      <c r="N24" s="150"/>
      <c r="O24" s="150"/>
      <c r="P24" s="153"/>
      <c r="Q24" s="154"/>
    </row>
    <row r="25" spans="2:17" ht="20.25" customHeight="1">
      <c r="B25" s="156" t="s">
        <v>228</v>
      </c>
      <c r="C25" s="149"/>
      <c r="D25" s="150"/>
      <c r="E25" s="203"/>
      <c r="F25" s="205"/>
      <c r="G25" s="152"/>
      <c r="H25" s="150"/>
      <c r="I25" s="203"/>
      <c r="J25" s="203"/>
      <c r="K25" s="199"/>
      <c r="L25" s="154"/>
      <c r="M25" s="155"/>
      <c r="N25" s="150"/>
      <c r="O25" s="150"/>
      <c r="P25" s="153"/>
      <c r="Q25" s="154"/>
    </row>
    <row r="26" spans="2:17" ht="14" customHeight="1">
      <c r="B26" s="156"/>
      <c r="C26" s="149"/>
      <c r="D26" s="150"/>
      <c r="E26" s="150"/>
      <c r="F26" s="151"/>
      <c r="G26" s="152"/>
      <c r="H26" s="150"/>
      <c r="I26" s="150"/>
      <c r="J26" s="150"/>
      <c r="K26" s="153"/>
      <c r="L26" s="154"/>
      <c r="M26" s="155"/>
      <c r="N26" s="150"/>
      <c r="O26" s="150"/>
      <c r="P26" s="153"/>
      <c r="Q26" s="154"/>
    </row>
    <row r="27" spans="2:17" ht="23.75" customHeight="1" thickBot="1">
      <c r="B27" s="157" t="s">
        <v>279</v>
      </c>
      <c r="C27" s="149"/>
      <c r="D27" s="158"/>
      <c r="E27" s="159" t="s">
        <v>89</v>
      </c>
      <c r="F27" s="151"/>
      <c r="G27" s="152"/>
      <c r="H27" s="150"/>
      <c r="I27" s="150"/>
      <c r="J27" s="150"/>
      <c r="K27" s="153"/>
      <c r="L27" s="154"/>
      <c r="M27" s="155"/>
      <c r="N27" s="150"/>
      <c r="O27" s="150"/>
      <c r="P27" s="153"/>
      <c r="Q27" s="154"/>
    </row>
    <row r="28" spans="2:17" ht="23.75" customHeight="1" thickBot="1">
      <c r="B28" s="149"/>
      <c r="C28" s="160"/>
      <c r="D28" s="161" t="s">
        <v>88</v>
      </c>
      <c r="E28" s="162" t="s">
        <v>87</v>
      </c>
      <c r="F28" s="151"/>
      <c r="G28" s="152"/>
      <c r="H28" s="150"/>
      <c r="I28" s="150"/>
      <c r="J28" s="150"/>
      <c r="K28" s="153"/>
      <c r="L28" s="154"/>
      <c r="M28" s="155"/>
      <c r="N28" s="150"/>
      <c r="O28" s="150"/>
      <c r="P28" s="153"/>
      <c r="Q28" s="154"/>
    </row>
    <row r="29" spans="2:17" ht="23.75" customHeight="1">
      <c r="B29" s="149"/>
      <c r="C29" s="163" t="s">
        <v>280</v>
      </c>
      <c r="D29" s="164">
        <v>6</v>
      </c>
      <c r="E29" s="165">
        <v>10</v>
      </c>
      <c r="F29" s="151"/>
      <c r="G29" s="152"/>
      <c r="H29" s="150"/>
      <c r="I29" s="150"/>
      <c r="J29" s="150"/>
      <c r="K29" s="153"/>
      <c r="L29" s="154"/>
      <c r="M29" s="155"/>
      <c r="N29" s="150"/>
      <c r="O29" s="150"/>
      <c r="P29" s="153"/>
      <c r="Q29" s="154"/>
    </row>
    <row r="30" spans="2:17" ht="23.75" customHeight="1">
      <c r="B30" s="149"/>
      <c r="C30" s="163" t="s">
        <v>281</v>
      </c>
      <c r="D30" s="166">
        <v>490</v>
      </c>
      <c r="E30" s="167">
        <v>505</v>
      </c>
      <c r="F30" s="151"/>
      <c r="G30" s="152"/>
      <c r="H30" s="150"/>
      <c r="I30" s="150"/>
      <c r="J30" s="150"/>
      <c r="K30" s="153"/>
      <c r="L30" s="154"/>
      <c r="M30" s="155"/>
      <c r="N30" s="150"/>
      <c r="O30" s="150"/>
      <c r="P30" s="153"/>
      <c r="Q30" s="154"/>
    </row>
    <row r="31" spans="2:17" ht="20.25" customHeight="1">
      <c r="B31" s="149"/>
      <c r="C31" s="168" t="s">
        <v>295</v>
      </c>
      <c r="D31" s="168"/>
      <c r="E31" s="169"/>
      <c r="F31" s="151"/>
      <c r="G31" s="152"/>
      <c r="H31" s="150"/>
      <c r="I31" s="150"/>
      <c r="J31" s="150"/>
      <c r="K31" s="153"/>
      <c r="L31" s="154"/>
      <c r="M31" s="155"/>
      <c r="N31" s="150"/>
      <c r="O31" s="150"/>
      <c r="P31" s="153"/>
      <c r="Q31" s="154"/>
    </row>
  </sheetData>
  <phoneticPr fontId="2"/>
  <printOptions horizontalCentered="1" verticalCentered="1"/>
  <pageMargins left="0.43307086614173201" right="0.196850393700787" top="0.27559055118110198" bottom="0.31496062992126" header="0.511811023622047" footer="0.15748031496063"/>
  <pageSetup paperSize="9" scale="58" orientation="landscape" r:id="rId1"/>
  <headerFooter alignWithMargins="0"/>
  <ignoredErrors>
    <ignoredError sqref="M26:Q28 M23:Q24 I10:Q10" numberStoredAsText="1"/>
    <ignoredError sqref="D7:H12 D5 F5:H5 D6 F6:H6 E5:E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9"/>
  <sheetViews>
    <sheetView showGridLines="0" view="pageBreakPreview" zoomScale="40" zoomScaleNormal="60" zoomScaleSheetLayoutView="40" zoomScalePageLayoutView="40" workbookViewId="0"/>
  </sheetViews>
  <sheetFormatPr defaultColWidth="9" defaultRowHeight="20.25" customHeight="1"/>
  <cols>
    <col min="1" max="1" width="2.46484375" style="3" customWidth="1"/>
    <col min="2" max="3" width="2.1328125" style="3" customWidth="1"/>
    <col min="4" max="4" width="42.46484375" style="3" customWidth="1"/>
    <col min="5" max="5" width="13.59765625" style="115" bestFit="1" customWidth="1"/>
    <col min="6" max="6" width="13.59765625" style="4" bestFit="1" customWidth="1"/>
    <col min="7" max="7" width="15.59765625" style="4" customWidth="1"/>
    <col min="8" max="9" width="15.59765625" style="3" customWidth="1"/>
    <col min="10" max="10" width="3.3984375" style="3" customWidth="1"/>
    <col min="11" max="11" width="2.86328125" style="3" customWidth="1"/>
    <col min="12" max="12" width="2.46484375" style="3" customWidth="1"/>
    <col min="13" max="13" width="42.3984375" style="3" customWidth="1"/>
    <col min="14" max="15" width="15.59765625" style="115" customWidth="1"/>
    <col min="16" max="18" width="15.59765625" style="3" customWidth="1"/>
    <col min="19" max="19" width="2.86328125" style="3" customWidth="1"/>
    <col min="20" max="16384" width="9" style="3"/>
  </cols>
  <sheetData>
    <row r="1" spans="2:22" s="140" customFormat="1" ht="21.75">
      <c r="B1" s="2" t="s">
        <v>136</v>
      </c>
      <c r="C1" s="141"/>
      <c r="D1" s="141"/>
      <c r="E1" s="142"/>
      <c r="F1" s="142"/>
      <c r="G1" s="142"/>
      <c r="H1" s="143"/>
      <c r="I1" s="143"/>
      <c r="J1" s="143"/>
      <c r="K1" s="143"/>
      <c r="L1" s="143"/>
      <c r="M1" s="143"/>
      <c r="N1" s="143"/>
      <c r="O1" s="143"/>
      <c r="P1" s="143"/>
      <c r="Q1" s="143"/>
      <c r="R1" s="143"/>
      <c r="S1" s="4"/>
      <c r="T1" s="4"/>
      <c r="U1" s="4"/>
      <c r="V1" s="4"/>
    </row>
    <row r="2" spans="2:22" ht="20.25" customHeight="1">
      <c r="B2" s="195"/>
      <c r="C2" s="195"/>
      <c r="D2" s="195"/>
      <c r="E2" s="195"/>
      <c r="F2" s="195"/>
      <c r="G2" s="195"/>
      <c r="H2" s="195"/>
      <c r="I2" s="195"/>
      <c r="J2" s="195"/>
      <c r="K2" s="195"/>
      <c r="L2" s="195"/>
      <c r="M2" s="195"/>
      <c r="N2" s="195"/>
      <c r="O2" s="195"/>
      <c r="P2" s="196"/>
      <c r="Q2" s="197"/>
      <c r="R2" s="198" t="s">
        <v>158</v>
      </c>
    </row>
    <row r="3" spans="2:22" ht="22.15" thickBot="1">
      <c r="B3" s="116" t="s">
        <v>36</v>
      </c>
      <c r="C3" s="117"/>
      <c r="D3" s="118"/>
      <c r="E3" s="119"/>
      <c r="F3" s="120"/>
      <c r="G3" s="120"/>
      <c r="H3" s="121"/>
      <c r="I3" s="121"/>
      <c r="J3" s="122"/>
      <c r="K3" s="116" t="s">
        <v>37</v>
      </c>
      <c r="N3" s="123"/>
      <c r="O3" s="123"/>
      <c r="S3" s="122"/>
    </row>
    <row r="4" spans="2:22" s="125" customFormat="1" ht="22.15" thickBot="1">
      <c r="B4" s="614" t="s">
        <v>29</v>
      </c>
      <c r="C4" s="614"/>
      <c r="D4" s="614"/>
      <c r="E4" s="209" t="s">
        <v>168</v>
      </c>
      <c r="F4" s="209" t="s">
        <v>182</v>
      </c>
      <c r="G4" s="200" t="s">
        <v>229</v>
      </c>
      <c r="H4" s="200" t="s">
        <v>291</v>
      </c>
      <c r="I4" s="200" t="s">
        <v>301</v>
      </c>
      <c r="J4" s="124"/>
      <c r="K4" s="614" t="s">
        <v>29</v>
      </c>
      <c r="L4" s="614"/>
      <c r="M4" s="614"/>
      <c r="N4" s="6" t="s">
        <v>168</v>
      </c>
      <c r="O4" s="6" t="s">
        <v>182</v>
      </c>
      <c r="P4" s="6" t="s">
        <v>229</v>
      </c>
      <c r="Q4" s="6" t="s">
        <v>291</v>
      </c>
      <c r="R4" s="200" t="s">
        <v>301</v>
      </c>
      <c r="S4" s="124"/>
    </row>
    <row r="5" spans="2:22" ht="21.75">
      <c r="B5" s="3" t="s">
        <v>112</v>
      </c>
      <c r="E5" s="210">
        <v>84800</v>
      </c>
      <c r="F5" s="210">
        <v>130831</v>
      </c>
      <c r="G5" s="210">
        <v>118829</v>
      </c>
      <c r="H5" s="210">
        <v>203861</v>
      </c>
      <c r="I5" s="219">
        <f>_EPRCS_VU_bec7669b_839c_41fb_a241_30ba75009f91</f>
        <v>201195</v>
      </c>
      <c r="J5" s="122"/>
      <c r="K5" s="3" t="s">
        <v>114</v>
      </c>
      <c r="N5" s="23">
        <v>111512</v>
      </c>
      <c r="O5" s="23">
        <v>125161</v>
      </c>
      <c r="P5" s="23">
        <v>148363</v>
      </c>
      <c r="Q5" s="23">
        <v>152722</v>
      </c>
      <c r="R5" s="221">
        <f>_EPRCS_VU_e5f6446b_5af1_4c9c_932c_7a5341987ccc</f>
        <v>144530</v>
      </c>
      <c r="S5" s="122"/>
    </row>
    <row r="6" spans="2:22" ht="21.75">
      <c r="B6" s="3" t="s">
        <v>113</v>
      </c>
      <c r="E6" s="210"/>
      <c r="F6" s="210"/>
      <c r="G6" s="210"/>
      <c r="H6" s="210"/>
      <c r="I6" s="219"/>
      <c r="J6" s="122"/>
      <c r="K6" s="3" t="s">
        <v>148</v>
      </c>
      <c r="N6" s="23"/>
      <c r="O6" s="23"/>
      <c r="P6" s="23"/>
      <c r="Q6" s="23"/>
      <c r="R6" s="221"/>
      <c r="S6" s="122"/>
    </row>
    <row r="7" spans="2:22" ht="21.75">
      <c r="C7" s="3" t="s">
        <v>38</v>
      </c>
      <c r="E7" s="210">
        <v>60142</v>
      </c>
      <c r="F7" s="210">
        <v>104531</v>
      </c>
      <c r="G7" s="210">
        <v>91904</v>
      </c>
      <c r="H7" s="210">
        <v>66616</v>
      </c>
      <c r="I7" s="219">
        <f>_EPRCS_VU_c366b24b_d1d4_405d_9e30_c558cd79498d</f>
        <v>64231</v>
      </c>
      <c r="J7" s="122"/>
      <c r="L7" s="3" t="s">
        <v>2</v>
      </c>
      <c r="N7" s="23">
        <v>8918</v>
      </c>
      <c r="O7" s="23">
        <v>10193</v>
      </c>
      <c r="P7" s="23">
        <v>12618</v>
      </c>
      <c r="Q7" s="23">
        <v>13386</v>
      </c>
      <c r="R7" s="221">
        <f>_EPRCS_VU_e9525f3b_fdec_4cc7_878e_e8c74f78a6ef</f>
        <v>13081</v>
      </c>
      <c r="S7" s="122"/>
    </row>
    <row r="8" spans="2:22" ht="21.75">
      <c r="C8" s="3" t="s">
        <v>144</v>
      </c>
      <c r="E8" s="210"/>
      <c r="F8" s="210"/>
      <c r="G8" s="210"/>
      <c r="H8" s="210"/>
      <c r="I8" s="219"/>
      <c r="J8" s="122"/>
      <c r="L8" s="3" t="s">
        <v>44</v>
      </c>
      <c r="N8" s="23"/>
      <c r="O8" s="23"/>
      <c r="P8" s="23"/>
      <c r="Q8" s="23"/>
      <c r="R8" s="221"/>
      <c r="S8" s="122"/>
    </row>
    <row r="9" spans="2:22" ht="21.75">
      <c r="C9" s="3" t="s">
        <v>39</v>
      </c>
      <c r="E9" s="210">
        <v>20784</v>
      </c>
      <c r="F9" s="210">
        <v>21350</v>
      </c>
      <c r="G9" s="210">
        <v>21202</v>
      </c>
      <c r="H9" s="210">
        <v>22573</v>
      </c>
      <c r="I9" s="219">
        <f>_EPRCS_VU_99280504_3988_41f3_bfcd_2ece6c331d2f</f>
        <v>17682</v>
      </c>
      <c r="J9" s="122"/>
      <c r="L9" s="3" t="s">
        <v>3</v>
      </c>
      <c r="N9" s="23">
        <v>4672</v>
      </c>
      <c r="O9" s="23">
        <v>4818</v>
      </c>
      <c r="P9" s="23">
        <v>5031</v>
      </c>
      <c r="Q9" s="23">
        <v>5753</v>
      </c>
      <c r="R9" s="221">
        <f>_EPRCS_VU_37b9d51b_27b0_4471_9909_56df1fc163ea</f>
        <v>6851</v>
      </c>
      <c r="S9" s="122"/>
    </row>
    <row r="10" spans="2:22" ht="21.75">
      <c r="C10" s="3" t="s">
        <v>46</v>
      </c>
      <c r="E10" s="210"/>
      <c r="F10" s="210"/>
      <c r="G10" s="210"/>
      <c r="H10" s="210"/>
      <c r="I10" s="219"/>
      <c r="J10" s="122"/>
      <c r="L10" s="3" t="s">
        <v>45</v>
      </c>
      <c r="N10" s="23"/>
      <c r="O10" s="23"/>
      <c r="P10" s="23"/>
      <c r="Q10" s="23"/>
      <c r="R10" s="221"/>
      <c r="S10" s="122"/>
    </row>
    <row r="11" spans="2:22" ht="21.75">
      <c r="C11" s="3" t="s">
        <v>162</v>
      </c>
      <c r="E11" s="212">
        <v>62</v>
      </c>
      <c r="F11" s="211">
        <v>1534</v>
      </c>
      <c r="G11" s="211">
        <v>2910</v>
      </c>
      <c r="H11" s="211">
        <v>1482</v>
      </c>
      <c r="I11" s="220" t="s">
        <v>86</v>
      </c>
      <c r="J11" s="117"/>
      <c r="L11" s="3" t="s">
        <v>4</v>
      </c>
      <c r="N11" s="23">
        <v>12313</v>
      </c>
      <c r="O11" s="23">
        <v>10659</v>
      </c>
      <c r="P11" s="23">
        <v>14847</v>
      </c>
      <c r="Q11" s="23">
        <v>15305</v>
      </c>
      <c r="R11" s="221">
        <f>_EPRCS_VU_e5baad94_9105_47b9_9321_633412ccc497</f>
        <v>13956</v>
      </c>
      <c r="S11" s="122"/>
    </row>
    <row r="12" spans="2:22" ht="21.75">
      <c r="C12" s="3" t="s">
        <v>161</v>
      </c>
      <c r="E12" s="210"/>
      <c r="F12" s="212"/>
      <c r="G12" s="210"/>
      <c r="H12" s="210"/>
      <c r="I12" s="219"/>
      <c r="J12" s="122"/>
      <c r="L12" s="3" t="s">
        <v>47</v>
      </c>
      <c r="N12" s="23"/>
      <c r="O12" s="23"/>
      <c r="P12" s="23"/>
      <c r="Q12" s="23"/>
      <c r="R12" s="221"/>
      <c r="S12" s="122"/>
    </row>
    <row r="13" spans="2:22" ht="22.5" customHeight="1">
      <c r="C13" s="3" t="s">
        <v>16</v>
      </c>
      <c r="E13" s="212">
        <v>108</v>
      </c>
      <c r="F13" s="211">
        <v>44</v>
      </c>
      <c r="G13" s="211">
        <v>49</v>
      </c>
      <c r="H13" s="211">
        <v>73</v>
      </c>
      <c r="I13" s="220" t="s">
        <v>86</v>
      </c>
      <c r="J13" s="117"/>
      <c r="L13" s="3" t="s">
        <v>5</v>
      </c>
      <c r="N13" s="201" t="s">
        <v>105</v>
      </c>
      <c r="O13" s="201" t="s">
        <v>105</v>
      </c>
      <c r="P13" s="201" t="s">
        <v>105</v>
      </c>
      <c r="Q13" s="201" t="s">
        <v>105</v>
      </c>
      <c r="R13" s="220" t="s">
        <v>86</v>
      </c>
      <c r="S13" s="122"/>
    </row>
    <row r="14" spans="2:22" ht="21.75">
      <c r="C14" s="3" t="s">
        <v>48</v>
      </c>
      <c r="E14" s="210"/>
      <c r="F14" s="210"/>
      <c r="G14" s="210"/>
      <c r="H14" s="210"/>
      <c r="I14" s="219"/>
      <c r="J14" s="122"/>
      <c r="L14" s="3" t="s">
        <v>18</v>
      </c>
      <c r="N14" s="23"/>
      <c r="O14" s="23"/>
      <c r="P14" s="23"/>
      <c r="Q14" s="23"/>
      <c r="R14" s="221"/>
      <c r="S14" s="122"/>
    </row>
    <row r="15" spans="2:22" ht="21.75">
      <c r="C15" s="3" t="s">
        <v>17</v>
      </c>
      <c r="E15" s="211" t="s">
        <v>105</v>
      </c>
      <c r="F15" s="211" t="s">
        <v>105</v>
      </c>
      <c r="G15" s="211" t="s">
        <v>105</v>
      </c>
      <c r="H15" s="211" t="s">
        <v>105</v>
      </c>
      <c r="I15" s="220" t="s">
        <v>86</v>
      </c>
      <c r="J15" s="122"/>
      <c r="K15" s="126"/>
      <c r="L15" s="126" t="s">
        <v>164</v>
      </c>
      <c r="N15" s="23">
        <v>80047</v>
      </c>
      <c r="O15" s="23">
        <v>93088</v>
      </c>
      <c r="P15" s="23">
        <v>108589</v>
      </c>
      <c r="Q15" s="23">
        <v>109299</v>
      </c>
      <c r="R15" s="221">
        <f>_EPRCS_VU_42087a9e_2e56_46bc_88f8_12634e1700dd</f>
        <v>103889</v>
      </c>
      <c r="S15" s="122"/>
    </row>
    <row r="16" spans="2:22" ht="21.75">
      <c r="C16" s="3" t="s">
        <v>85</v>
      </c>
      <c r="E16" s="210"/>
      <c r="F16" s="210"/>
      <c r="G16" s="210"/>
      <c r="H16" s="210"/>
      <c r="I16" s="219"/>
      <c r="J16" s="122"/>
      <c r="K16" s="126"/>
      <c r="L16" s="126" t="s">
        <v>163</v>
      </c>
      <c r="N16" s="23"/>
      <c r="O16" s="23"/>
      <c r="P16" s="23"/>
      <c r="Q16" s="23"/>
      <c r="R16" s="221"/>
      <c r="S16" s="122"/>
    </row>
    <row r="17" spans="1:19" ht="21.75">
      <c r="C17" s="3" t="s">
        <v>137</v>
      </c>
      <c r="E17" s="211" t="s">
        <v>169</v>
      </c>
      <c r="F17" s="211" t="s">
        <v>169</v>
      </c>
      <c r="G17" s="211" t="s">
        <v>169</v>
      </c>
      <c r="H17" s="211">
        <v>110000</v>
      </c>
      <c r="I17" s="220">
        <v>110000</v>
      </c>
      <c r="J17" s="122"/>
      <c r="K17" s="126"/>
      <c r="L17" s="126" t="s">
        <v>30</v>
      </c>
      <c r="N17" s="25">
        <v>5560</v>
      </c>
      <c r="O17" s="25">
        <v>6400</v>
      </c>
      <c r="P17" s="25">
        <v>7276</v>
      </c>
      <c r="Q17" s="25">
        <v>8977</v>
      </c>
      <c r="R17" s="225">
        <f>_EPRCS_VU_e9a413b1_0180_43c7_bc7a_fc02b306790f</f>
        <v>6750</v>
      </c>
      <c r="S17" s="122"/>
    </row>
    <row r="18" spans="1:19" ht="35" customHeight="1">
      <c r="C18" s="590" t="s">
        <v>185</v>
      </c>
      <c r="D18" s="590"/>
      <c r="E18" s="210"/>
      <c r="F18" s="210"/>
      <c r="G18" s="210"/>
      <c r="H18" s="210"/>
      <c r="I18" s="219"/>
      <c r="J18" s="122"/>
      <c r="L18" s="3" t="s">
        <v>111</v>
      </c>
      <c r="R18" s="227"/>
      <c r="S18" s="122"/>
    </row>
    <row r="19" spans="1:19" ht="21.75">
      <c r="C19" s="3" t="s">
        <v>40</v>
      </c>
      <c r="E19" s="210">
        <v>3721</v>
      </c>
      <c r="F19" s="210">
        <v>3389</v>
      </c>
      <c r="G19" s="210">
        <v>2781</v>
      </c>
      <c r="H19" s="210">
        <v>3134</v>
      </c>
      <c r="I19" s="219">
        <f>_EPRCS_VU_32efad70_ce46_48b9_8744_e532a12a13ce</f>
        <v>9301</v>
      </c>
      <c r="J19" s="122"/>
      <c r="K19" s="127" t="s">
        <v>25</v>
      </c>
      <c r="L19" s="127"/>
      <c r="M19" s="127"/>
      <c r="N19" s="128">
        <v>0</v>
      </c>
      <c r="O19" s="128">
        <v>0</v>
      </c>
      <c r="P19" s="128" t="s">
        <v>19</v>
      </c>
      <c r="Q19" s="128" t="s">
        <v>230</v>
      </c>
      <c r="R19" s="228" t="s">
        <v>292</v>
      </c>
      <c r="S19" s="122"/>
    </row>
    <row r="20" spans="1:19" ht="23" customHeight="1">
      <c r="C20" s="3" t="s">
        <v>49</v>
      </c>
      <c r="E20" s="210"/>
      <c r="F20" s="210"/>
      <c r="G20" s="210"/>
      <c r="H20" s="210"/>
      <c r="I20" s="219"/>
      <c r="J20" s="122"/>
      <c r="K20" s="126" t="s">
        <v>149</v>
      </c>
      <c r="L20" s="126"/>
      <c r="M20" s="126"/>
      <c r="N20" s="25"/>
      <c r="O20" s="25"/>
      <c r="P20" s="25"/>
      <c r="Q20" s="25"/>
      <c r="R20" s="225"/>
      <c r="S20" s="122"/>
    </row>
    <row r="21" spans="1:19" ht="21.75">
      <c r="C21" s="126" t="s">
        <v>41</v>
      </c>
      <c r="E21" s="210">
        <v>-20</v>
      </c>
      <c r="F21" s="210">
        <v>-20</v>
      </c>
      <c r="G21" s="210">
        <v>-20</v>
      </c>
      <c r="H21" s="210">
        <v>-20</v>
      </c>
      <c r="I21" s="219">
        <f>_EPRCS_VU_b79740be_e506_4147_8d65_93dee6d5b5cd</f>
        <v>-20</v>
      </c>
      <c r="J21" s="122"/>
      <c r="K21" s="126"/>
      <c r="L21" s="126" t="s">
        <v>30</v>
      </c>
      <c r="N21" s="25">
        <v>0</v>
      </c>
      <c r="O21" s="25">
        <v>0</v>
      </c>
      <c r="P21" s="25" t="s">
        <v>19</v>
      </c>
      <c r="Q21" s="25" t="s">
        <v>230</v>
      </c>
      <c r="R21" s="225" t="s">
        <v>292</v>
      </c>
      <c r="S21" s="122"/>
    </row>
    <row r="22" spans="1:19" ht="21.75">
      <c r="C22" s="126" t="s">
        <v>145</v>
      </c>
      <c r="E22" s="210"/>
      <c r="F22" s="210"/>
      <c r="G22" s="210"/>
      <c r="H22" s="212"/>
      <c r="I22" s="221"/>
      <c r="J22" s="122"/>
      <c r="L22" s="126" t="s">
        <v>49</v>
      </c>
      <c r="N22" s="26"/>
      <c r="O22" s="26"/>
      <c r="P22" s="26"/>
      <c r="Q22" s="26"/>
      <c r="R22" s="229"/>
      <c r="S22" s="122"/>
    </row>
    <row r="23" spans="1:19" ht="23.55" customHeight="1" thickBot="1">
      <c r="C23" s="126"/>
      <c r="D23" s="126"/>
      <c r="E23" s="210"/>
      <c r="F23" s="210"/>
      <c r="G23" s="210"/>
      <c r="H23" s="213"/>
      <c r="I23" s="222"/>
      <c r="J23" s="122"/>
      <c r="K23" s="127" t="s">
        <v>6</v>
      </c>
      <c r="L23" s="127"/>
      <c r="M23" s="127"/>
      <c r="N23" s="23">
        <v>111513</v>
      </c>
      <c r="O23" s="23">
        <v>125161</v>
      </c>
      <c r="P23" s="23">
        <v>148363</v>
      </c>
      <c r="Q23" s="23">
        <v>152722</v>
      </c>
      <c r="R23" s="221">
        <f>_EPRCS_VU_59116170_65e1_4c1e_9e5c_e422df7ed7fd</f>
        <v>144530</v>
      </c>
      <c r="S23" s="122"/>
    </row>
    <row r="24" spans="1:19" ht="22.15" thickBot="1">
      <c r="B24" s="129" t="s">
        <v>115</v>
      </c>
      <c r="C24" s="129"/>
      <c r="D24" s="129"/>
      <c r="E24" s="214">
        <v>152068</v>
      </c>
      <c r="F24" s="214">
        <v>150184</v>
      </c>
      <c r="G24" s="214">
        <v>221329</v>
      </c>
      <c r="H24" s="214">
        <v>112542</v>
      </c>
      <c r="I24" s="223">
        <f>_EPRCS_VU_e7208ffb_ae27_4a8f_97a4_ed7edeebed90</f>
        <v>114400</v>
      </c>
      <c r="J24" s="122"/>
      <c r="K24" s="121" t="s">
        <v>50</v>
      </c>
      <c r="L24" s="121"/>
      <c r="M24" s="121"/>
      <c r="N24" s="24"/>
      <c r="O24" s="24"/>
      <c r="P24" s="24"/>
      <c r="Q24" s="24"/>
      <c r="R24" s="230"/>
      <c r="S24" s="122"/>
    </row>
    <row r="25" spans="1:19" ht="21.75">
      <c r="A25" s="126"/>
      <c r="B25" s="126"/>
      <c r="C25" s="3" t="s">
        <v>116</v>
      </c>
      <c r="E25" s="210">
        <v>35796</v>
      </c>
      <c r="F25" s="210">
        <v>34973</v>
      </c>
      <c r="G25" s="210">
        <v>34236</v>
      </c>
      <c r="H25" s="210">
        <v>34820</v>
      </c>
      <c r="I25" s="219">
        <f>_EPRCS_VU_af74c5b0_63b5_4142_9b1f_fff7cf1f2568</f>
        <v>35971</v>
      </c>
      <c r="J25" s="122"/>
      <c r="R25" s="227"/>
      <c r="S25" s="122"/>
    </row>
    <row r="26" spans="1:19" ht="21.75">
      <c r="D26" s="3" t="s">
        <v>27</v>
      </c>
      <c r="E26" s="210">
        <v>26057</v>
      </c>
      <c r="F26" s="210">
        <v>26057</v>
      </c>
      <c r="G26" s="210">
        <v>26057</v>
      </c>
      <c r="H26" s="210">
        <v>26057</v>
      </c>
      <c r="I26" s="219">
        <f>_EPRCS_VU_93237caf_e393_4928_b2fe_038eed72c03d</f>
        <v>26057</v>
      </c>
      <c r="J26" s="122"/>
      <c r="K26" s="3" t="s">
        <v>7</v>
      </c>
      <c r="N26" s="23">
        <v>25067</v>
      </c>
      <c r="O26" s="23">
        <v>25111</v>
      </c>
      <c r="P26" s="23">
        <v>25175</v>
      </c>
      <c r="Q26" s="23">
        <v>25225</v>
      </c>
      <c r="R26" s="221">
        <f>_EPRCS_VU_8c36847e_f03c_434e_8e64_a7e1be82b505</f>
        <v>25248</v>
      </c>
      <c r="S26" s="130"/>
    </row>
    <row r="27" spans="1:19" ht="21.75">
      <c r="D27" s="3" t="s">
        <v>79</v>
      </c>
      <c r="E27" s="210"/>
      <c r="F27" s="210"/>
      <c r="G27" s="210"/>
      <c r="H27" s="210"/>
      <c r="I27" s="219"/>
      <c r="J27" s="130"/>
      <c r="K27" s="3" t="s">
        <v>150</v>
      </c>
      <c r="N27" s="23"/>
      <c r="O27" s="23"/>
      <c r="P27" s="23"/>
      <c r="Q27" s="23"/>
      <c r="R27" s="221"/>
      <c r="S27" s="131"/>
    </row>
    <row r="28" spans="1:19" ht="21.75">
      <c r="D28" s="3" t="s">
        <v>42</v>
      </c>
      <c r="E28" s="212">
        <v>8628</v>
      </c>
      <c r="F28" s="212">
        <v>7824</v>
      </c>
      <c r="G28" s="212">
        <v>6995</v>
      </c>
      <c r="H28" s="212">
        <v>6257</v>
      </c>
      <c r="I28" s="221">
        <f>_EPRCS_VU_a72917da_ad82_42ae_81b6_bb523ed51c1b</f>
        <v>6052</v>
      </c>
      <c r="J28" s="131"/>
      <c r="K28" s="3" t="s">
        <v>13</v>
      </c>
      <c r="N28" s="23">
        <v>8418</v>
      </c>
      <c r="O28" s="23">
        <v>8462</v>
      </c>
      <c r="P28" s="23">
        <v>8526</v>
      </c>
      <c r="Q28" s="23">
        <v>8576</v>
      </c>
      <c r="R28" s="221">
        <f>_EPRCS_VU_4c4037eb_2be5_45bf_bec1_03367a4a4c95</f>
        <v>8599</v>
      </c>
      <c r="S28" s="131"/>
    </row>
    <row r="29" spans="1:19" ht="21.75">
      <c r="D29" s="132" t="s">
        <v>146</v>
      </c>
      <c r="E29" s="210"/>
      <c r="F29" s="210"/>
      <c r="G29" s="210"/>
      <c r="H29" s="210"/>
      <c r="I29" s="219"/>
      <c r="J29" s="131"/>
      <c r="K29" s="3" t="s">
        <v>151</v>
      </c>
      <c r="N29" s="23"/>
      <c r="O29" s="23"/>
      <c r="P29" s="23"/>
      <c r="Q29" s="23"/>
      <c r="R29" s="221"/>
      <c r="S29" s="131"/>
    </row>
    <row r="30" spans="1:19" ht="21.75">
      <c r="D30" s="3" t="s">
        <v>28</v>
      </c>
      <c r="E30" s="210">
        <v>1111</v>
      </c>
      <c r="F30" s="210">
        <v>1092</v>
      </c>
      <c r="G30" s="210">
        <v>1184</v>
      </c>
      <c r="H30" s="210">
        <v>2505</v>
      </c>
      <c r="I30" s="219">
        <v>3861</v>
      </c>
      <c r="J30" s="131"/>
      <c r="K30" s="3" t="s">
        <v>14</v>
      </c>
      <c r="N30" s="23">
        <v>93156</v>
      </c>
      <c r="O30" s="23">
        <v>124646</v>
      </c>
      <c r="P30" s="23">
        <v>159472</v>
      </c>
      <c r="Q30" s="23">
        <v>133737</v>
      </c>
      <c r="R30" s="221">
        <f>_EPRCS_VU_9e005e40_8dda_4860_8cdc_113891f69e1e</f>
        <v>139275</v>
      </c>
      <c r="S30" s="131"/>
    </row>
    <row r="31" spans="1:19" ht="21.75">
      <c r="D31" s="3" t="s">
        <v>147</v>
      </c>
      <c r="E31" s="210"/>
      <c r="F31" s="210"/>
      <c r="G31" s="210"/>
      <c r="H31" s="210"/>
      <c r="I31" s="219"/>
      <c r="J31" s="131"/>
      <c r="K31" s="3" t="s">
        <v>152</v>
      </c>
      <c r="N31" s="23"/>
      <c r="O31" s="23"/>
      <c r="P31" s="23"/>
      <c r="Q31" s="23"/>
      <c r="R31" s="221"/>
      <c r="S31" s="131"/>
    </row>
    <row r="32" spans="1:19" ht="21.75">
      <c r="C32" s="3" t="s">
        <v>117</v>
      </c>
      <c r="E32" s="210">
        <v>1</v>
      </c>
      <c r="F32" s="210">
        <v>1</v>
      </c>
      <c r="G32" s="210">
        <v>0</v>
      </c>
      <c r="H32" s="210">
        <v>0</v>
      </c>
      <c r="I32" s="219">
        <f>_EPRCS_VU_dc1ba3e4_7323_4ea2_8ba9_bd2503f195dc</f>
        <v>0</v>
      </c>
      <c r="J32" s="131"/>
      <c r="K32" s="126" t="s">
        <v>118</v>
      </c>
      <c r="L32" s="126"/>
      <c r="M32" s="126"/>
      <c r="N32" s="25">
        <v>-1399</v>
      </c>
      <c r="O32" s="25">
        <v>-2452</v>
      </c>
      <c r="P32" s="25">
        <v>-1438</v>
      </c>
      <c r="Q32" s="25">
        <v>-3900</v>
      </c>
      <c r="R32" s="225">
        <f>_EPRCS_VU_5326a3a9_337f_45b8_80a8_2194ee3aba11</f>
        <v>-2090</v>
      </c>
      <c r="S32" s="131"/>
    </row>
    <row r="33" spans="1:19" ht="22.15" thickBot="1">
      <c r="C33" s="3" t="s">
        <v>21</v>
      </c>
      <c r="E33" s="210">
        <v>116270</v>
      </c>
      <c r="F33" s="210">
        <v>115209</v>
      </c>
      <c r="G33" s="210">
        <v>187092</v>
      </c>
      <c r="H33" s="210">
        <v>77721</v>
      </c>
      <c r="I33" s="219">
        <f>_EPRCS_VU_729f0e5c_3b98_42dd_adc4_5e5eacb8b3ba</f>
        <v>78428</v>
      </c>
      <c r="J33" s="131"/>
      <c r="K33" s="121" t="s">
        <v>153</v>
      </c>
      <c r="L33" s="121"/>
      <c r="M33" s="121"/>
      <c r="N33" s="24"/>
      <c r="O33" s="24"/>
      <c r="P33" s="24"/>
      <c r="Q33" s="24"/>
      <c r="R33" s="230"/>
      <c r="S33" s="131"/>
    </row>
    <row r="34" spans="1:19" ht="21.75">
      <c r="C34" s="3" t="s">
        <v>0</v>
      </c>
      <c r="E34" s="215"/>
      <c r="F34" s="215"/>
      <c r="G34" s="215"/>
      <c r="H34" s="215"/>
      <c r="I34" s="224"/>
      <c r="J34" s="131"/>
      <c r="K34" s="126" t="s">
        <v>22</v>
      </c>
      <c r="L34" s="126"/>
      <c r="M34" s="126"/>
      <c r="N34" s="23">
        <v>125243</v>
      </c>
      <c r="O34" s="23">
        <v>155768</v>
      </c>
      <c r="P34" s="23">
        <v>191735</v>
      </c>
      <c r="Q34" s="23">
        <v>163639</v>
      </c>
      <c r="R34" s="221">
        <f>_EPRCS_VU_251b669f_c884_4914_a14f_9c687beec44c</f>
        <v>171033</v>
      </c>
      <c r="S34" s="131"/>
    </row>
    <row r="35" spans="1:19" ht="21.75">
      <c r="D35" s="3" t="s">
        <v>107</v>
      </c>
      <c r="E35" s="216">
        <v>110000</v>
      </c>
      <c r="F35" s="216">
        <v>110000</v>
      </c>
      <c r="G35" s="216">
        <v>182000</v>
      </c>
      <c r="H35" s="216">
        <v>72000</v>
      </c>
      <c r="I35" s="225">
        <f>_EPRCS_VU_20bab543_16f6_4a7f_89e3_57479f5eb3cc</f>
        <v>72000</v>
      </c>
      <c r="J35" s="131"/>
      <c r="K35" s="126" t="s">
        <v>154</v>
      </c>
      <c r="L35" s="126"/>
      <c r="M35" s="126"/>
      <c r="N35" s="23"/>
      <c r="O35" s="23"/>
      <c r="P35" s="23"/>
      <c r="Q35" s="23"/>
      <c r="R35" s="221"/>
      <c r="S35" s="131"/>
    </row>
    <row r="36" spans="1:19" ht="36" customHeight="1">
      <c r="D36" s="133" t="s">
        <v>109</v>
      </c>
      <c r="E36" s="215"/>
      <c r="F36" s="215"/>
      <c r="G36" s="215"/>
      <c r="H36" s="215"/>
      <c r="I36" s="224"/>
      <c r="J36" s="131"/>
      <c r="K36" s="126" t="s">
        <v>26</v>
      </c>
      <c r="L36" s="126"/>
      <c r="M36" s="126"/>
      <c r="N36" s="23">
        <v>111</v>
      </c>
      <c r="O36" s="23">
        <v>85</v>
      </c>
      <c r="P36" s="23">
        <v>59</v>
      </c>
      <c r="Q36" s="23">
        <v>42</v>
      </c>
      <c r="R36" s="221">
        <f>_EPRCS_VU_90a1bcb2_da8f_4a12_91aa_5d66bab260b5</f>
        <v>33</v>
      </c>
      <c r="S36" s="131"/>
    </row>
    <row r="37" spans="1:19" ht="22.15" thickBot="1">
      <c r="D37" s="3" t="s">
        <v>108</v>
      </c>
      <c r="E37" s="215">
        <v>6270</v>
      </c>
      <c r="F37" s="215">
        <v>5209</v>
      </c>
      <c r="G37" s="215">
        <v>5092</v>
      </c>
      <c r="H37" s="215">
        <v>5721</v>
      </c>
      <c r="I37" s="224">
        <f>_EPRCS_VU_681d1d87_c25a_4855_846b_90c83cd48146</f>
        <v>6428</v>
      </c>
      <c r="J37" s="131"/>
      <c r="K37" s="121" t="s">
        <v>155</v>
      </c>
      <c r="L37" s="121"/>
      <c r="M37" s="121"/>
      <c r="N37" s="24"/>
      <c r="O37" s="24"/>
      <c r="P37" s="24"/>
      <c r="Q37" s="24"/>
      <c r="R37" s="230"/>
      <c r="S37" s="131"/>
    </row>
    <row r="38" spans="1:19" ht="21.75">
      <c r="D38" s="3" t="s">
        <v>110</v>
      </c>
      <c r="E38" s="215"/>
      <c r="F38" s="215"/>
      <c r="G38" s="215"/>
      <c r="H38" s="215"/>
      <c r="I38" s="224"/>
      <c r="J38" s="131"/>
      <c r="K38" s="126" t="s">
        <v>23</v>
      </c>
      <c r="L38" s="126"/>
      <c r="M38" s="126"/>
      <c r="N38" s="23">
        <v>125355</v>
      </c>
      <c r="O38" s="23">
        <v>155854</v>
      </c>
      <c r="P38" s="23">
        <v>191795</v>
      </c>
      <c r="Q38" s="23">
        <v>163681</v>
      </c>
      <c r="R38" s="221">
        <f>_EPRCS_VU_15ab3c6b_d905_4a19_ad65_ef8a3edb8b6e</f>
        <v>171066</v>
      </c>
      <c r="S38" s="131"/>
    </row>
    <row r="39" spans="1:19" ht="22.15" thickBot="1">
      <c r="E39" s="215"/>
      <c r="F39" s="215"/>
      <c r="G39" s="215"/>
      <c r="H39" s="215"/>
      <c r="I39" s="224"/>
      <c r="J39" s="131"/>
      <c r="K39" s="121" t="s">
        <v>20</v>
      </c>
      <c r="L39" s="121"/>
      <c r="M39" s="121"/>
      <c r="N39" s="24"/>
      <c r="O39" s="24"/>
      <c r="P39" s="24"/>
      <c r="Q39" s="24"/>
      <c r="R39" s="230"/>
      <c r="S39" s="131"/>
    </row>
    <row r="40" spans="1:19" ht="21.75">
      <c r="B40" s="129" t="s">
        <v>43</v>
      </c>
      <c r="C40" s="129"/>
      <c r="D40" s="129"/>
      <c r="E40" s="214">
        <v>236868</v>
      </c>
      <c r="F40" s="214">
        <v>281015</v>
      </c>
      <c r="G40" s="214">
        <v>340159</v>
      </c>
      <c r="H40" s="214">
        <v>316403</v>
      </c>
      <c r="I40" s="223">
        <f>_EPRCS_VU_c200f673_8065_422f_8863_34cdfa792ca9</f>
        <v>315596</v>
      </c>
      <c r="J40" s="131"/>
      <c r="K40" s="129" t="s">
        <v>24</v>
      </c>
      <c r="L40" s="129"/>
      <c r="M40" s="129"/>
      <c r="N40" s="23">
        <v>236868</v>
      </c>
      <c r="O40" s="23">
        <v>281015</v>
      </c>
      <c r="P40" s="23">
        <v>340159</v>
      </c>
      <c r="Q40" s="23">
        <v>316403</v>
      </c>
      <c r="R40" s="221">
        <f>_EPRCS_VU_c200f673_8065_422f_8863_34cdfa792ca9</f>
        <v>315596</v>
      </c>
      <c r="S40" s="131"/>
    </row>
    <row r="41" spans="1:19" ht="22.15" thickBot="1">
      <c r="B41" s="121" t="s">
        <v>1</v>
      </c>
      <c r="C41" s="121"/>
      <c r="D41" s="121"/>
      <c r="E41" s="217"/>
      <c r="F41" s="217"/>
      <c r="G41" s="217"/>
      <c r="H41" s="218"/>
      <c r="I41" s="226"/>
      <c r="J41" s="131"/>
      <c r="K41" s="121" t="s">
        <v>51</v>
      </c>
      <c r="L41" s="121"/>
      <c r="M41" s="121"/>
      <c r="N41" s="134"/>
      <c r="O41" s="24"/>
      <c r="P41" s="24"/>
      <c r="Q41" s="24"/>
      <c r="R41" s="231"/>
      <c r="S41" s="131"/>
    </row>
    <row r="42" spans="1:19" ht="21.75">
      <c r="B42" s="135" t="s">
        <v>81</v>
      </c>
      <c r="C42" s="126"/>
      <c r="D42" s="126"/>
      <c r="E42" s="8"/>
      <c r="F42" s="8"/>
      <c r="G42" s="8"/>
      <c r="H42" s="8"/>
      <c r="I42" s="8"/>
      <c r="J42" s="131"/>
      <c r="K42" s="126"/>
      <c r="L42" s="126"/>
      <c r="M42" s="126"/>
      <c r="N42" s="25"/>
      <c r="O42" s="136"/>
      <c r="P42" s="25"/>
      <c r="Q42" s="25"/>
      <c r="R42" s="25"/>
      <c r="S42" s="131"/>
    </row>
    <row r="43" spans="1:19" ht="21.75">
      <c r="B43" s="135"/>
      <c r="C43" s="135"/>
      <c r="D43" s="135"/>
      <c r="E43" s="135"/>
      <c r="F43" s="135"/>
      <c r="G43" s="135"/>
      <c r="H43" s="135"/>
      <c r="I43" s="135"/>
      <c r="J43" s="131"/>
      <c r="K43" s="126"/>
      <c r="L43" s="126"/>
      <c r="M43" s="126"/>
      <c r="N43" s="4"/>
      <c r="O43" s="126"/>
      <c r="P43" s="8"/>
      <c r="Q43" s="8"/>
      <c r="R43" s="8"/>
      <c r="S43" s="130"/>
    </row>
    <row r="44" spans="1:19" ht="21.75">
      <c r="A44" s="137"/>
      <c r="B44" s="138"/>
      <c r="J44" s="131"/>
      <c r="S44" s="130"/>
    </row>
    <row r="45" spans="1:19" s="135" customFormat="1" ht="21.75">
      <c r="A45" s="137"/>
      <c r="B45" s="126"/>
      <c r="C45" s="3"/>
      <c r="D45" s="3"/>
      <c r="E45" s="115"/>
      <c r="F45" s="4"/>
      <c r="G45" s="4"/>
      <c r="H45" s="3"/>
      <c r="I45" s="3"/>
      <c r="J45" s="131"/>
      <c r="K45" s="3"/>
      <c r="L45" s="3"/>
      <c r="M45" s="3"/>
      <c r="N45" s="115"/>
      <c r="O45" s="115"/>
      <c r="P45" s="3"/>
      <c r="Q45" s="3"/>
      <c r="R45" s="3"/>
      <c r="S45" s="130"/>
    </row>
    <row r="46" spans="1:19" s="135" customFormat="1" ht="21.75">
      <c r="A46" s="3"/>
      <c r="B46" s="126"/>
      <c r="C46" s="3"/>
      <c r="D46" s="3"/>
      <c r="E46" s="115"/>
      <c r="F46" s="4"/>
      <c r="G46" s="4"/>
      <c r="H46" s="3"/>
      <c r="I46" s="3"/>
      <c r="J46" s="3"/>
      <c r="K46" s="3"/>
      <c r="L46" s="3"/>
      <c r="M46" s="3"/>
      <c r="N46" s="115"/>
      <c r="O46" s="115"/>
      <c r="P46" s="3"/>
      <c r="Q46" s="3"/>
      <c r="R46" s="3"/>
    </row>
    <row r="47" spans="1:19" s="135" customFormat="1" ht="19.5" customHeight="1">
      <c r="A47" s="3"/>
      <c r="B47" s="3"/>
      <c r="C47" s="3"/>
      <c r="D47" s="3"/>
      <c r="E47" s="115"/>
      <c r="F47" s="4"/>
      <c r="G47" s="4"/>
      <c r="H47" s="3"/>
      <c r="I47" s="3"/>
      <c r="J47" s="3"/>
      <c r="K47" s="3"/>
      <c r="L47" s="3"/>
      <c r="M47" s="3"/>
      <c r="N47" s="115"/>
      <c r="O47" s="115"/>
      <c r="P47" s="3"/>
      <c r="Q47" s="3"/>
      <c r="R47" s="3"/>
      <c r="S47" s="3"/>
    </row>
    <row r="48" spans="1:19" ht="14" customHeight="1">
      <c r="J48" s="139"/>
      <c r="S48" s="117"/>
    </row>
    <row r="49" spans="10:10" ht="16.5" customHeight="1">
      <c r="J49" s="117"/>
    </row>
  </sheetData>
  <mergeCells count="3">
    <mergeCell ref="B4:D4"/>
    <mergeCell ref="K4:M4"/>
    <mergeCell ref="C18:D18"/>
  </mergeCells>
  <phoneticPr fontId="2"/>
  <printOptions horizontalCentered="1" verticalCentered="1"/>
  <pageMargins left="0.43307086614173201" right="0.196850393700787" top="0.27559055118110198" bottom="0.31496062992126" header="0.511811023622047" footer="0.15748031496063"/>
  <pageSetup paperSize="9" scale="57" orientation="landscape" r:id="rId1"/>
  <headerFooter alignWithMargins="0"/>
  <ignoredErrors>
    <ignoredError sqref="I5:I9 I24:I29 R5:R18 I31:I41 R33:R39 R20 R22:R3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Metadata/LabelInfo.xml><?xml version="1.0" encoding="utf-8"?>
<clbl:labelList xmlns:clbl="http://schemas.microsoft.com/office/2020/mipLabelMetadata">
  <clbl:label id="{3c76ce46-357f-46de-88d6-77b9bbb83c46}" enabled="1" method="Privileged" siteId="{4e2c6054-71cb-48f1-bd6c-3a9705aca71b}"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Cover</vt:lpstr>
      <vt:lpstr>Segmental info &amp; Opex</vt:lpstr>
      <vt:lpstr>Corporate_Overview</vt:lpstr>
      <vt:lpstr>Segmental info &amp; Opex (original</vt:lpstr>
      <vt:lpstr>1.Rev YoY</vt:lpstr>
      <vt:lpstr>2.Ope YoY</vt:lpstr>
      <vt:lpstr>3.Summary</vt:lpstr>
      <vt:lpstr>5.BS</vt:lpstr>
      <vt:lpstr>'1.Rev YoY'!Print_Area</vt:lpstr>
      <vt:lpstr>'2.Ope YoY'!Print_Area</vt:lpstr>
      <vt:lpstr>'3.Summary'!Print_Area</vt:lpstr>
      <vt:lpstr>Corporate_Overview!Print_Area</vt:lpstr>
      <vt:lpstr>Cover!Print_Area</vt:lpstr>
      <vt:lpstr>'Segmental info &amp; Opex'!Print_Area</vt:lpstr>
      <vt:lpstr>'Segmental info &amp; Opex (original'!Print_Area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fy26q2-supplemental</dc:title>
  <dc:subject>2026年5月期(FY26)第2四半期　業績補足資料</dc:subject>
  <dc:creator>Oracle Corporation</dc:creator>
  <cp:keywords>2nd Quarter, Fiscal Year ending May 2026 (FY26) Business Results, Supplemental Information and Historical Facts, 2025/12/23,日本オラクル株式会社,Oracle Corporation Japan (TSE 4716)</cp:keywords>
  <dc:description/>
  <cp:lastModifiedBy>Miyuki Moriyama</cp:lastModifiedBy>
  <cp:lastPrinted>2025-12-21T20:24:30Z</cp:lastPrinted>
  <dcterms:created xsi:type="dcterms:W3CDTF">2009-12-21T07:58:45Z</dcterms:created>
  <dcterms:modified xsi:type="dcterms:W3CDTF">2025-12-23T07:03:21Z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c76ce46-357f-46de-88d6-77b9bbb83c46_Enabled">
    <vt:lpwstr>true</vt:lpwstr>
  </property>
  <property fmtid="{D5CDD505-2E9C-101B-9397-08002B2CF9AE}" pid="5" name="MSIP_Label_3c76ce46-357f-46de-88d6-77b9bbb83c46_SetDate">
    <vt:lpwstr>2025-09-22T15:51:46Z</vt:lpwstr>
  </property>
  <property fmtid="{D5CDD505-2E9C-101B-9397-08002B2CF9AE}" pid="6" name="MSIP_Label_3c76ce46-357f-46de-88d6-77b9bbb83c46_Method">
    <vt:lpwstr>Privileged</vt:lpwstr>
  </property>
  <property fmtid="{D5CDD505-2E9C-101B-9397-08002B2CF9AE}" pid="7" name="MSIP_Label_3c76ce46-357f-46de-88d6-77b9bbb83c46_Name">
    <vt:lpwstr>Public</vt:lpwstr>
  </property>
  <property fmtid="{D5CDD505-2E9C-101B-9397-08002B2CF9AE}" pid="8" name="MSIP_Label_3c76ce46-357f-46de-88d6-77b9bbb83c46_SiteId">
    <vt:lpwstr>4e2c6054-71cb-48f1-bd6c-3a9705aca71b</vt:lpwstr>
  </property>
  <property fmtid="{D5CDD505-2E9C-101B-9397-08002B2CF9AE}" pid="9" name="MSIP_Label_3c76ce46-357f-46de-88d6-77b9bbb83c46_ActionId">
    <vt:lpwstr>a3c58b18-4eea-4650-a35d-72bb0f057c17</vt:lpwstr>
  </property>
  <property fmtid="{D5CDD505-2E9C-101B-9397-08002B2CF9AE}" pid="10" name="MSIP_Label_3c76ce46-357f-46de-88d6-77b9bbb83c46_ContentBits">
    <vt:lpwstr>0</vt:lpwstr>
  </property>
</Properties>
</file>